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tabRatio="982" activeTab="5"/>
  </bookViews>
  <sheets>
    <sheet name="Mot. Onibus A1" sheetId="1" r:id="rId1"/>
    <sheet name="Mot. Utilitário A2" sheetId="2" r:id="rId2"/>
    <sheet name="Mecanico A3" sheetId="3" r:id="rId3"/>
    <sheet name="Lavador A4" sheetId="4" r:id="rId4"/>
    <sheet name="Supervisor A5" sheetId="5" r:id="rId5"/>
    <sheet name="Custo Total MDO A6" sheetId="6" r:id="rId6"/>
  </sheets>
  <definedNames>
    <definedName name="_xlnm.Print_Area" localSheetId="3">'Lavador A4'!$A$1:$F$157</definedName>
    <definedName name="_xlnm.Print_Area" localSheetId="2">'Mecanico A3'!$A$1:$F$157</definedName>
    <definedName name="_xlnm.Print_Area" localSheetId="0">'Mot. Onibus A1'!$A$1:$E$161</definedName>
    <definedName name="_xlnm.Print_Area" localSheetId="1">'Mot. Utilitário A2'!$A$1:$E$163</definedName>
    <definedName name="_xlnm.Print_Area" localSheetId="4">'Supervisor A5'!$A$1:$F$157</definedName>
  </definedNames>
  <calcPr fullCalcOnLoad="1"/>
</workbook>
</file>

<file path=xl/comments3.xml><?xml version="1.0" encoding="utf-8"?>
<comments xmlns="http://schemas.openxmlformats.org/spreadsheetml/2006/main">
  <authors>
    <author>JoaoPaulo</author>
  </authors>
  <commentList>
    <comment ref="C30" authorId="0">
      <text>
        <r>
          <rPr>
            <b/>
            <sz val="9"/>
            <rFont val="Segoe UI"/>
            <family val="2"/>
          </rPr>
          <t>JoaoPaulo:</t>
        </r>
        <r>
          <rPr>
            <sz val="9"/>
            <rFont val="Segoe UI"/>
            <family val="2"/>
          </rPr>
          <t xml:space="preserve">
Conforme Cláusula 13a da CCT
</t>
        </r>
      </text>
    </comment>
  </commentList>
</comments>
</file>

<file path=xl/comments4.xml><?xml version="1.0" encoding="utf-8"?>
<comments xmlns="http://schemas.openxmlformats.org/spreadsheetml/2006/main">
  <authors>
    <author>JoaoPaulo</author>
  </authors>
  <commentList>
    <comment ref="C30" authorId="0">
      <text>
        <r>
          <rPr>
            <sz val="9"/>
            <rFont val="Segoe UI"/>
            <family val="2"/>
          </rPr>
          <t>Conforme CCT Cláusula 13a.</t>
        </r>
      </text>
    </comment>
  </commentList>
</comments>
</file>

<file path=xl/sharedStrings.xml><?xml version="1.0" encoding="utf-8"?>
<sst xmlns="http://schemas.openxmlformats.org/spreadsheetml/2006/main" count="1150" uniqueCount="173">
  <si>
    <t>(PLANILHA A SER FORNECIDA PELA PROPONENTE EM PAPEL TIMBRADO)</t>
  </si>
  <si>
    <r>
      <rPr>
        <sz val="9"/>
        <rFont val="Arial"/>
        <family val="2"/>
      </rPr>
      <t xml:space="preserve">EMPRESA </t>
    </r>
    <r>
      <rPr>
        <sz val="9"/>
        <color indexed="10"/>
        <rFont val="Arial"/>
        <family val="2"/>
      </rPr>
      <t>(nome da empresa)</t>
    </r>
  </si>
  <si>
    <r>
      <rPr>
        <sz val="9"/>
        <rFont val="Arial"/>
        <family val="2"/>
      </rPr>
      <t>CNPJ N.º :</t>
    </r>
    <r>
      <rPr>
        <sz val="9"/>
        <color indexed="10"/>
        <rFont val="Arial"/>
        <family val="2"/>
      </rPr>
      <t xml:space="preserve"> (n.º do CNPJ)</t>
    </r>
  </si>
  <si>
    <r>
      <rPr>
        <b/>
        <sz val="9"/>
        <rFont val="Arial"/>
        <family val="2"/>
      </rPr>
      <t>PLANILHA DE COMPOSIÇÃO DE CUSTOS E FORMAÇÃO DE PREÇOS</t>
    </r>
    <r>
      <rPr>
        <sz val="9"/>
        <rFont val="Arial"/>
        <family val="2"/>
      </rPr>
      <t xml:space="preserve"> (Anexo VII da I.N. da SLTI/MPOG n.º 5 de 26/Maio/2017   </t>
    </r>
  </si>
  <si>
    <t>MÃO-DE-OBRA VINCULADA À EXECUÇÃO CONTRATUAL</t>
  </si>
  <si>
    <t>Dados para composição dos custos referentes a mão de obra</t>
  </si>
  <si>
    <t>Tipo de serviço</t>
  </si>
  <si>
    <t>Dias trabalhados por mês</t>
  </si>
  <si>
    <t>Classificação Brasileira de Ocupações (CBO)</t>
  </si>
  <si>
    <t>Salário Normativo da Categoria Profissional</t>
  </si>
  <si>
    <t xml:space="preserve">Categoria profissional </t>
  </si>
  <si>
    <t>MÓDULO 1 : COMPOSIÇÃO DA REMUNERAÇÃO</t>
  </si>
  <si>
    <t>Composição da Remuneração</t>
  </si>
  <si>
    <t>Valor(R$)</t>
  </si>
  <si>
    <t>A</t>
  </si>
  <si>
    <t>Salário 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</si>
  <si>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</si>
  <si>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</si>
  <si>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</si>
  <si>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</si>
  <si>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</si>
  <si>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</si>
  <si>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</si>
  <si>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F</t>
  </si>
  <si>
    <t>Total de Remuneração</t>
  </si>
  <si>
    <t>MÓDULO 2: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</si>
  <si>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</si>
  <si>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</si>
  <si>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</si>
  <si>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Valor (R$)</t>
  </si>
  <si>
    <t>13º (décimo terceiro) Salário</t>
  </si>
  <si>
    <t>Férias e Adicional de Férias</t>
  </si>
  <si>
    <t>Total</t>
  </si>
  <si>
    <t>Submódulo 2.2 - Encargos Previdenciários (GPS), Fundo de Garantia por Tempo de Serviço (FGTS) e outras contribuições</t>
  </si>
  <si>
    <t>2.2</t>
  </si>
  <si>
    <t>GPS, FGTS e outras contribuições</t>
  </si>
  <si>
    <t>%</t>
  </si>
  <si>
    <t>INSS</t>
  </si>
  <si>
    <t>Salário Educação</t>
  </si>
  <si>
    <t>Seguro acidente do trabalho</t>
  </si>
  <si>
    <t>SESI ou SESC</t>
  </si>
  <si>
    <t>SENAI ou SENAC</t>
  </si>
  <si>
    <t>SEBRAE</t>
  </si>
  <si>
    <t>G</t>
  </si>
  <si>
    <t>INCRA</t>
  </si>
  <si>
    <t>H</t>
  </si>
  <si>
    <t>FGTS</t>
  </si>
  <si>
    <t>TOTAL</t>
  </si>
  <si>
    <t>Itens não aplicáveis a Optantes do SIMPLES</t>
  </si>
  <si>
    <t>Submódulo 2.3 - Benefícios Mensais e Diários</t>
  </si>
  <si>
    <t>2.3</t>
  </si>
  <si>
    <t>Benefícios Mensais e Diários</t>
  </si>
  <si>
    <t>Transporte</t>
  </si>
  <si>
    <t>Total de Benefícios Mensais e Diários</t>
  </si>
  <si>
    <t>Quadro-Resumo do Módulo 2 - Encargos e Benefícios anuais, mensais e diários</t>
  </si>
  <si>
    <t>Encargos e Benefícios Anuais, Mensais e Diários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</si>
  <si>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</si>
  <si>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</si>
  <si>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</si>
  <si>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</si>
  <si>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</si>
  <si>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</si>
  <si>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</si>
  <si>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</si>
  <si>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</si>
  <si>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</si>
  <si>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</si>
  <si>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de férias</t>
  </si>
  <si>
    <t>Substituto na cobertura de outras ausências (especificar)</t>
  </si>
  <si>
    <t>Submódulo 4.2 - Intrajornada</t>
  </si>
  <si>
    <t>4.2</t>
  </si>
  <si>
    <t>Intrajornada</t>
  </si>
  <si>
    <t>Intervalo para repouso ou alimentação</t>
  </si>
  <si>
    <t>Quadro-Resumo do Módulo 4 - Custo de Reposição do Profissional Ausente</t>
  </si>
  <si>
    <t>Custo de reposição</t>
  </si>
  <si>
    <t>MÓDULO 5: INSUMOS DIVERSOS</t>
  </si>
  <si>
    <t>Insumos Diversos</t>
  </si>
  <si>
    <t>Uniformes</t>
  </si>
  <si>
    <t>Equipamentos</t>
  </si>
  <si>
    <t>Total de Insumos Diversos</t>
  </si>
  <si>
    <t>MÓDULO 6: CUSTOS INDIRETOS, TRIBUTOS E LUCRO – (LUCRO PRESUMIDO)</t>
  </si>
  <si>
    <t>MÓDULO 6: CUSTOS INDIRETOS, TRIBUTOS E LUCRO – (LUCRO REAL)</t>
  </si>
  <si>
    <t>Custos Indiretos, Tributos e Lucro</t>
  </si>
  <si>
    <t>Custos Indiretos</t>
  </si>
  <si>
    <t>Lucro</t>
  </si>
  <si>
    <t>Tributos</t>
  </si>
  <si>
    <t>C.1) Tributos Federais (PIS = 0,65% e COFINS = 3%)</t>
  </si>
  <si>
    <t>C.2) Tributos Estaduais (especificar)</t>
  </si>
  <si>
    <t>C.3) Tributos Municipais (ISS = 5,0%)</t>
  </si>
  <si>
    <t>C.4) Outros tributos (especificar)</t>
  </si>
  <si>
    <t>Quadro-resumo do Custo por Empregado</t>
  </si>
  <si>
    <t>Mão-de-obra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</si>
  <si>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</si>
  <si>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</si>
  <si>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</si>
  <si>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</si>
  <si>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Subtotal (A + B +C+ D+E)</t>
  </si>
  <si>
    <t>Módulo 6 – Custos Indiretos, Tributos e Lucro</t>
  </si>
  <si>
    <t>Valor total por empregado</t>
  </si>
  <si>
    <t>FATOR K</t>
  </si>
  <si>
    <r>
      <t>PLANILHA DE COMPOSIÇÃO DE CUSTOS E FORMAÇÃO DE PREÇOS</t>
    </r>
    <r>
      <rPr>
        <sz val="9"/>
        <rFont val="Verdana"/>
        <family val="2"/>
      </rPr>
      <t xml:space="preserve"> (Anexo VII da I.N. da SLTI/MPOG n.º 5 de 26/Maio/2017   </t>
    </r>
  </si>
  <si>
    <t>Adicional de Hora Noturna Reduzida</t>
  </si>
  <si>
    <r>
      <t xml:space="preserve">EMPRESA </t>
    </r>
    <r>
      <rPr>
        <sz val="9"/>
        <color indexed="10"/>
        <rFont val="Verdana"/>
        <family val="2"/>
      </rPr>
      <t>(nome da empresa)</t>
    </r>
  </si>
  <si>
    <r>
      <t>CNPJ N.º :</t>
    </r>
    <r>
      <rPr>
        <sz val="9"/>
        <color indexed="10"/>
        <rFont val="Verdana"/>
        <family val="2"/>
      </rPr>
      <t xml:space="preserve"> (n.º do CNPJ)</t>
    </r>
  </si>
  <si>
    <t>ITEM</t>
  </si>
  <si>
    <t>DISCRIMINAÇÃO DO POSTO</t>
  </si>
  <si>
    <t>FUNCIONÁRIOS</t>
  </si>
  <si>
    <t>R$</t>
  </si>
  <si>
    <t>TOTAL MENSAL</t>
  </si>
  <si>
    <t>Substituto na cobertura de Ausências legais</t>
  </si>
  <si>
    <t>Substituto na cobertura de Licença paternidade</t>
  </si>
  <si>
    <t>Substituto na cobertura de Ausência por Acidente de trabalho</t>
  </si>
  <si>
    <t>ITEM 01</t>
  </si>
  <si>
    <t xml:space="preserve">Outros </t>
  </si>
  <si>
    <t>Substituto na cobertura de Afastamento Maternidade</t>
  </si>
  <si>
    <t>C.1) Tributos Federais (PIS = 1,65% e COFINS = 7,60%)</t>
  </si>
  <si>
    <t>MÓDULO 4: CUSTO DE REPOSIÇÃO DO PROFISSIONAL AUSENTE</t>
  </si>
  <si>
    <t>MÓDULO 3: PROVISÃO PARA RESCISÃO</t>
  </si>
  <si>
    <t>Incidência do Submódulo 2.2 - Encargos previdenciários (GPS), FGTS e outras contribuições                                                                                     (Cálculo sobre a remuneração, pois será adotada a Conta Vinculada)</t>
  </si>
  <si>
    <t>Quantidade de postos</t>
  </si>
  <si>
    <t>Ticket Alimentação</t>
  </si>
  <si>
    <t>Benefício Social Familiar</t>
  </si>
  <si>
    <t>TOTAL ANUAL</t>
  </si>
  <si>
    <t>Custo total da contratação</t>
  </si>
  <si>
    <t>POSTOS</t>
  </si>
  <si>
    <t>VALOR MENSAL POR POSTO</t>
  </si>
  <si>
    <t>ANEXO IV-A1</t>
  </si>
  <si>
    <t>Processo 23069.23069.154415/2020-65</t>
  </si>
  <si>
    <t>Contratação de empresa especializada na prestação dos serviços de apoio de Transporte</t>
  </si>
  <si>
    <t>Transporte de Passageiros</t>
  </si>
  <si>
    <t>Processo  23069.154415/2020-65</t>
  </si>
  <si>
    <t>Motorista de ônibus</t>
  </si>
  <si>
    <t>Motorista de utilitário</t>
  </si>
  <si>
    <t>Mecânico de veículos automotores à diesel</t>
  </si>
  <si>
    <t>Lavador de Veículos</t>
  </si>
  <si>
    <t>Supervisor de transportes</t>
  </si>
  <si>
    <t>Supervisor de Transporte – 44 horas (dia)</t>
  </si>
  <si>
    <t>CBO 5101-05</t>
  </si>
  <si>
    <t>Asseio</t>
  </si>
  <si>
    <t>Lavador de Veículos – 44 horas (dia)</t>
  </si>
  <si>
    <t>CBO 5199-35</t>
  </si>
  <si>
    <t>CBO 9144-25</t>
  </si>
  <si>
    <t>Mecânico à Diesel – 44 horas (dia)</t>
  </si>
  <si>
    <t>Motorista de Utilitário – 44 horas (dia)</t>
  </si>
  <si>
    <t>CBO 7823-10</t>
  </si>
  <si>
    <t>Motorista de Ônibus – 44 horas (dia)</t>
  </si>
  <si>
    <t>CBO 7824</t>
  </si>
  <si>
    <t>Subtotal do módulo 1 para base de cálculo para apuração dos valores de férias, 13º, aviso prévio e FGTS correspondentes a essas verbas.</t>
  </si>
  <si>
    <t>Outros (Reflexo do Adicional Noturno no RSR)</t>
  </si>
  <si>
    <t>Total de Remuneração para cálculo do Sumodulo 2.2</t>
  </si>
  <si>
    <t>Auxílio-Refeição/Alimentação</t>
  </si>
  <si>
    <t>Assistência média e familiar</t>
  </si>
  <si>
    <t>Materiais</t>
  </si>
  <si>
    <t>Adicional de hora extra 50% (estimativa de 20h/mês)</t>
  </si>
  <si>
    <t>Adicional de hora extra 100% (estimativa de 10h/mês)</t>
  </si>
  <si>
    <t>Adicional Noturno (estimativa de 3h/dia trabalhado)</t>
  </si>
  <si>
    <t>I</t>
  </si>
  <si>
    <t>J</t>
  </si>
  <si>
    <t>Outros (Reflexo do Adicional de hora extra 50% no RSR)</t>
  </si>
  <si>
    <t>Outros (Reflexo do Adicional de hora extra 100% no RSR)</t>
  </si>
  <si>
    <r>
      <t>Transporte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(Como o valor do benefício, descontado o valor do colaborador ficou negativo, zeramos o valor)</t>
    </r>
  </si>
  <si>
    <t>Diárias</t>
  </si>
  <si>
    <t>Observação: o item Diárias não é objeto de lance, e não pode ser alterado, sob pena de Recusa da Proposta.</t>
  </si>
  <si>
    <t>Entidade Sindical da Empresa</t>
  </si>
  <si>
    <t>Entidade Sindical dos Empregados</t>
  </si>
  <si>
    <t>Número do Registro</t>
  </si>
  <si>
    <t>Início da Vigência</t>
  </si>
  <si>
    <t>Fim da Vigência</t>
  </si>
  <si>
    <t>ANEXO IV-A2</t>
  </si>
  <si>
    <t>ANEXO IV-A3</t>
  </si>
  <si>
    <t>ANEXO IV-A4</t>
  </si>
  <si>
    <t>ANEXO IV-A5</t>
  </si>
  <si>
    <t>ANEXO IV-A6 - Custo total MÃO DE OBRA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</si>
</sst>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d/m/yyyy"/>
    <numFmt numFmtId="166" formatCode="#,##0.00_);\(#,##0.00\)"/>
    <numFmt numFmtId="167" formatCode="_(&quot;R$ &quot;* #,##0.00_);_(&quot;R$ &quot;* \(#,##0.00\);_(&quot;R$ &quot;* &quot;-&quot;??_);_(@_)"/>
    <numFmt numFmtId="168" formatCode="&quot;R$&quot;\ #,##0.00"/>
    <numFmt numFmtId="169" formatCode="0.000%"/>
    <numFmt numFmtId="170" formatCode="&quot;R$&quot;\ #,##0.0;[Red]\-&quot;R$&quot;\ #,##0.0"/>
    <numFmt numFmtId="171" formatCode="&quot;R$&quot;\ #,##0.000;[Red]\-&quot;R$&quot;\ #,##0.000"/>
    <numFmt numFmtId="172" formatCode="&quot;R$&quot;\ #,##0.0000;[Red]\-&quot;R$&quot;\ #,##0.0000"/>
    <numFmt numFmtId="173" formatCode="&quot;R$&quot;\ #,##0.00000;[Red]\-&quot;R$&quot;\ #,##0.00000"/>
    <numFmt numFmtId="174" formatCode="&quot;R$&quot;\ #,##0.000000;[Red]\-&quot;R$&quot;\ #,##0.000000"/>
    <numFmt numFmtId="175" formatCode="&quot;R$&quot;\ #,##0.0000000;[Red]\-&quot;R$&quot;\ #,##0.0000000"/>
    <numFmt numFmtId="176" formatCode="&quot;R$&quot;\ #,##0.00000000;[Red]\-&quot;R$&quot;\ #,##0.00000000"/>
    <numFmt numFmtId="177" formatCode="&quot;R$&quot;\ #,##0.000000000;[Red]\-&quot;R$&quot;\ #,##0.000000000"/>
    <numFmt numFmtId="178" formatCode="&quot;R$&quot;\ #,##0.0000000000;[Red]\-&quot;R$&quot;\ #,##0.0000000000"/>
    <numFmt numFmtId="179" formatCode="&quot;R$&quot;\ #,##0.00000000000;[Red]\-&quot;R$&quot;\ #,##0.00000000000"/>
    <numFmt numFmtId="180" formatCode="&quot;R$&quot;\ #,##0.000000000000;[Red]\-&quot;R$&quot;\ #,##0.000000000000"/>
    <numFmt numFmtId="181" formatCode="&quot;R$&quot;\ #,##0.0000000000000;[Red]\-&quot;R$&quot;\ #,##0.0000000000000"/>
    <numFmt numFmtId="182" formatCode="&quot;R$&quot;\ #,##0.00000000000000;[Red]\-&quot;R$&quot;\ #,##0.00000000000000"/>
    <numFmt numFmtId="183" formatCode="_-&quot;R$ &quot;* #,##0.000_-;&quot;-R$ &quot;* #,##0.000_-;_-&quot;R$ &quot;* \-??_-;_-@_-"/>
    <numFmt numFmtId="184" formatCode="_-&quot;R$ &quot;* #,##0.0000_-;&quot;-R$ &quot;* #,##0.0000_-;_-&quot;R$ &quot;* \-??_-;_-@_-"/>
    <numFmt numFmtId="185" formatCode="_-&quot;R$ &quot;* #,##0.00000_-;&quot;-R$ &quot;* #,##0.00000_-;_-&quot;R$ &quot;* \-??_-;_-@_-"/>
    <numFmt numFmtId="186" formatCode="_-&quot;R$ &quot;* #,##0.000000_-;&quot;-R$ &quot;* #,##0.000000_-;_-&quot;R$ &quot;* \-??_-;_-@_-"/>
    <numFmt numFmtId="187" formatCode="_-&quot;R$ &quot;* #,##0.0000000_-;&quot;-R$ &quot;* #,##0.0000000_-;_-&quot;R$ &quot;* \-??_-;_-@_-"/>
    <numFmt numFmtId="188" formatCode="[$-416]dddd\,\ d&quot; de &quot;mmmm&quot; de &quot;yyyy"/>
    <numFmt numFmtId="189" formatCode="0.0%"/>
    <numFmt numFmtId="190" formatCode="0.0000%"/>
    <numFmt numFmtId="191" formatCode="0.00000%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_-* #,##0.0_-;\-* #,##0.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&quot;Activado&quot;;&quot;Activado&quot;;&quot;Desactivado&quot;"/>
    <numFmt numFmtId="202" formatCode="00"/>
    <numFmt numFmtId="203" formatCode="#,##0.000"/>
    <numFmt numFmtId="204" formatCode="[$R$ -416]#,##0.00"/>
    <numFmt numFmtId="205" formatCode="0.00000000E+00"/>
  </numFmts>
  <fonts count="61"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8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ill="0" applyBorder="0" applyAlignment="0" applyProtection="0"/>
  </cellStyleXfs>
  <cellXfs count="217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65" fontId="0" fillId="33" borderId="0" xfId="0" applyNumberForma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vertical="center"/>
      <protection locked="0"/>
    </xf>
    <xf numFmtId="9" fontId="6" fillId="33" borderId="0" xfId="52" applyFont="1" applyFill="1" applyBorder="1" applyAlignment="1" applyProtection="1">
      <alignment horizontal="center" vertical="center"/>
      <protection/>
    </xf>
    <xf numFmtId="166" fontId="0" fillId="33" borderId="0" xfId="0" applyNumberFormat="1" applyFill="1" applyAlignment="1">
      <alignment horizontal="center" vertical="center"/>
    </xf>
    <xf numFmtId="166" fontId="0" fillId="33" borderId="0" xfId="0" applyNumberForma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2" fontId="5" fillId="33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8" fontId="5" fillId="0" borderId="0" xfId="0" applyNumberFormat="1" applyFont="1" applyAlignment="1">
      <alignment/>
    </xf>
    <xf numFmtId="43" fontId="0" fillId="33" borderId="0" xfId="0" applyNumberForma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vertical="center"/>
      <protection locked="0"/>
    </xf>
    <xf numFmtId="164" fontId="14" fillId="0" borderId="18" xfId="46" applyFont="1" applyFill="1" applyBorder="1" applyAlignment="1" applyProtection="1">
      <alignment vertical="center"/>
      <protection/>
    </xf>
    <xf numFmtId="164" fontId="14" fillId="0" borderId="18" xfId="46" applyFont="1" applyFill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164" fontId="14" fillId="34" borderId="18" xfId="46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164" fontId="4" fillId="0" borderId="21" xfId="46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14" fillId="33" borderId="18" xfId="46" applyFont="1" applyFill="1" applyBorder="1" applyAlignment="1" applyProtection="1">
      <alignment vertical="center"/>
      <protection/>
    </xf>
    <xf numFmtId="164" fontId="4" fillId="33" borderId="21" xfId="46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2" fontId="2" fillId="33" borderId="26" xfId="0" applyNumberFormat="1" applyFont="1" applyFill="1" applyBorder="1" applyAlignment="1">
      <alignment horizontal="center" vertical="center"/>
    </xf>
    <xf numFmtId="164" fontId="14" fillId="33" borderId="15" xfId="46" applyFont="1" applyFill="1" applyBorder="1" applyAlignment="1" applyProtection="1">
      <alignment vertical="center"/>
      <protection/>
    </xf>
    <xf numFmtId="0" fontId="15" fillId="0" borderId="13" xfId="0" applyFont="1" applyBorder="1" applyAlignment="1">
      <alignment horizontal="justify" vertical="center" wrapText="1"/>
    </xf>
    <xf numFmtId="2" fontId="15" fillId="33" borderId="17" xfId="0" applyNumberFormat="1" applyFont="1" applyFill="1" applyBorder="1" applyAlignment="1">
      <alignment horizontal="center" vertical="center"/>
    </xf>
    <xf numFmtId="164" fontId="15" fillId="33" borderId="18" xfId="46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 horizontal="justify" vertical="center" wrapText="1"/>
    </xf>
    <xf numFmtId="2" fontId="2" fillId="33" borderId="17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4" fillId="0" borderId="19" xfId="0" applyFont="1" applyBorder="1" applyAlignment="1">
      <alignment horizontal="justify" vertical="center" wrapText="1"/>
    </xf>
    <xf numFmtId="2" fontId="4" fillId="33" borderId="20" xfId="0" applyNumberFormat="1" applyFont="1" applyFill="1" applyBorder="1" applyAlignment="1">
      <alignment horizontal="center" vertical="center"/>
    </xf>
    <xf numFmtId="164" fontId="4" fillId="33" borderId="21" xfId="46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6" fillId="33" borderId="26" xfId="0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2" fillId="0" borderId="17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66" fontId="4" fillId="0" borderId="0" xfId="0" applyNumberFormat="1" applyFont="1" applyAlignment="1">
      <alignment horizontal="center" vertical="center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166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164" fontId="4" fillId="0" borderId="21" xfId="46" applyNumberFormat="1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4" fillId="33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justify" vertical="center" wrapText="1"/>
    </xf>
    <xf numFmtId="0" fontId="4" fillId="0" borderId="29" xfId="0" applyFont="1" applyBorder="1" applyAlignment="1">
      <alignment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justify" vertical="center" wrapText="1"/>
    </xf>
    <xf numFmtId="4" fontId="14" fillId="33" borderId="29" xfId="48" applyNumberFormat="1" applyFont="1" applyFill="1" applyBorder="1" applyAlignment="1" applyProtection="1">
      <alignment vertical="center"/>
      <protection/>
    </xf>
    <xf numFmtId="2" fontId="2" fillId="33" borderId="29" xfId="50" applyNumberFormat="1" applyFont="1" applyFill="1" applyBorder="1" applyAlignment="1">
      <alignment vertical="center"/>
      <protection/>
    </xf>
    <xf numFmtId="0" fontId="2" fillId="33" borderId="29" xfId="0" applyFont="1" applyFill="1" applyBorder="1" applyAlignment="1">
      <alignment vertical="center"/>
    </xf>
    <xf numFmtId="164" fontId="4" fillId="33" borderId="29" xfId="46" applyFont="1" applyFill="1" applyBorder="1" applyAlignment="1" applyProtection="1">
      <alignment vertical="center"/>
      <protection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vertical="center" wrapText="1"/>
    </xf>
    <xf numFmtId="0" fontId="2" fillId="0" borderId="30" xfId="50" applyFont="1" applyBorder="1" applyAlignment="1">
      <alignment horizontal="justify" vertical="center" wrapText="1"/>
      <protection/>
    </xf>
    <xf numFmtId="4" fontId="14" fillId="33" borderId="31" xfId="48" applyNumberFormat="1" applyFont="1" applyFill="1" applyBorder="1" applyAlignment="1" applyProtection="1">
      <alignment vertical="center"/>
      <protection/>
    </xf>
    <xf numFmtId="0" fontId="2" fillId="0" borderId="32" xfId="50" applyFont="1" applyBorder="1" applyAlignment="1">
      <alignment horizontal="justify" vertical="center" wrapText="1"/>
      <protection/>
    </xf>
    <xf numFmtId="0" fontId="4" fillId="0" borderId="20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2" fontId="4" fillId="33" borderId="21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164" fontId="4" fillId="0" borderId="21" xfId="46" applyFont="1" applyFill="1" applyBorder="1" applyAlignment="1" applyProtection="1">
      <alignment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164" fontId="4" fillId="33" borderId="18" xfId="46" applyFont="1" applyFill="1" applyBorder="1" applyAlignment="1" applyProtection="1">
      <alignment vertical="center"/>
      <protection/>
    </xf>
    <xf numFmtId="0" fontId="4" fillId="0" borderId="20" xfId="0" applyFont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2" fontId="4" fillId="33" borderId="18" xfId="0" applyNumberFormat="1" applyFont="1" applyFill="1" applyBorder="1" applyAlignment="1">
      <alignment vertical="center"/>
    </xf>
    <xf numFmtId="164" fontId="4" fillId="33" borderId="33" xfId="46" applyFont="1" applyFill="1" applyBorder="1" applyAlignment="1" applyProtection="1">
      <alignment vertical="center"/>
      <protection/>
    </xf>
    <xf numFmtId="4" fontId="14" fillId="0" borderId="29" xfId="48" applyNumberFormat="1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64" fontId="14" fillId="33" borderId="29" xfId="46" applyFont="1" applyFill="1" applyBorder="1" applyAlignment="1" applyProtection="1">
      <alignment vertical="center"/>
      <protection/>
    </xf>
    <xf numFmtId="0" fontId="4" fillId="0" borderId="34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200" fontId="0" fillId="33" borderId="0" xfId="0" applyNumberFormat="1" applyFill="1" applyAlignment="1">
      <alignment horizontal="center" vertical="center"/>
    </xf>
    <xf numFmtId="43" fontId="0" fillId="33" borderId="0" xfId="0" applyNumberFormat="1" applyFill="1" applyAlignment="1">
      <alignment vertical="center"/>
    </xf>
    <xf numFmtId="164" fontId="14" fillId="35" borderId="18" xfId="46" applyFont="1" applyFill="1" applyBorder="1" applyAlignment="1" applyProtection="1">
      <alignment vertical="center"/>
      <protection locked="0"/>
    </xf>
    <xf numFmtId="0" fontId="37" fillId="8" borderId="2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164" fontId="14" fillId="33" borderId="35" xfId="46" applyFont="1" applyFill="1" applyBorder="1" applyAlignment="1" applyProtection="1">
      <alignment vertical="center"/>
      <protection/>
    </xf>
    <xf numFmtId="164" fontId="14" fillId="36" borderId="18" xfId="46" applyFont="1" applyFill="1" applyBorder="1" applyAlignment="1" applyProtection="1">
      <alignment vertical="center"/>
      <protection locked="0"/>
    </xf>
    <xf numFmtId="164" fontId="14" fillId="34" borderId="33" xfId="46" applyFont="1" applyFill="1" applyBorder="1" applyAlignment="1" applyProtection="1">
      <alignment vertical="center"/>
      <protection locked="0"/>
    </xf>
    <xf numFmtId="0" fontId="38" fillId="0" borderId="29" xfId="0" applyFont="1" applyBorder="1" applyAlignment="1">
      <alignment horizontal="center" vertical="center" wrapText="1"/>
    </xf>
    <xf numFmtId="3" fontId="38" fillId="0" borderId="29" xfId="0" applyNumberFormat="1" applyFont="1" applyBorder="1" applyAlignment="1">
      <alignment horizontal="center" vertical="center" wrapText="1"/>
    </xf>
    <xf numFmtId="8" fontId="38" fillId="0" borderId="29" xfId="0" applyNumberFormat="1" applyFont="1" applyBorder="1" applyAlignment="1">
      <alignment horizontal="center" vertical="center" wrapText="1"/>
    </xf>
    <xf numFmtId="8" fontId="38" fillId="0" borderId="29" xfId="0" applyNumberFormat="1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3" fontId="39" fillId="0" borderId="29" xfId="0" applyNumberFormat="1" applyFont="1" applyBorder="1" applyAlignment="1">
      <alignment horizontal="center" vertical="center" wrapText="1"/>
    </xf>
    <xf numFmtId="8" fontId="39" fillId="0" borderId="29" xfId="0" applyNumberFormat="1" applyFont="1" applyBorder="1" applyAlignment="1">
      <alignment horizontal="center" vertical="center" wrapText="1"/>
    </xf>
    <xf numFmtId="8" fontId="39" fillId="0" borderId="2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distributed" wrapText="1" shrinkToFit="1" readingOrder="1"/>
    </xf>
    <xf numFmtId="0" fontId="4" fillId="0" borderId="0" xfId="0" applyFont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164" fontId="8" fillId="33" borderId="18" xfId="46" applyFont="1" applyFill="1" applyBorder="1" applyAlignment="1" applyProtection="1">
      <alignment vertical="center"/>
      <protection/>
    </xf>
    <xf numFmtId="0" fontId="0" fillId="0" borderId="36" xfId="44" applyNumberFormat="1" applyFont="1" applyFill="1" applyBorder="1" applyAlignment="1" applyProtection="1">
      <alignment horizontal="center"/>
      <protection/>
    </xf>
    <xf numFmtId="0" fontId="0" fillId="0" borderId="37" xfId="44" applyNumberFormat="1" applyFont="1" applyFill="1" applyBorder="1" applyAlignment="1" applyProtection="1">
      <alignment horizontal="center"/>
      <protection/>
    </xf>
    <xf numFmtId="0" fontId="0" fillId="0" borderId="38" xfId="44" applyNumberFormat="1" applyFont="1" applyFill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37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5" fillId="37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7" fillId="37" borderId="4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distributed" wrapText="1" shrinkToFit="1" readingOrder="1"/>
    </xf>
    <xf numFmtId="0" fontId="11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65" fontId="0" fillId="33" borderId="0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164" fontId="8" fillId="33" borderId="29" xfId="46" applyFont="1" applyFill="1" applyBorder="1" applyAlignment="1" applyProtection="1">
      <alignment vertical="center"/>
      <protection/>
    </xf>
    <xf numFmtId="0" fontId="0" fillId="0" borderId="29" xfId="44" applyNumberFormat="1" applyFont="1" applyFill="1" applyBorder="1" applyAlignment="1" applyProtection="1">
      <alignment horizontal="center"/>
      <protection/>
    </xf>
    <xf numFmtId="165" fontId="0" fillId="33" borderId="29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164" fontId="8" fillId="33" borderId="52" xfId="46" applyFont="1" applyFill="1" applyBorder="1" applyAlignment="1" applyProtection="1">
      <alignment vertical="center"/>
      <protection/>
    </xf>
    <xf numFmtId="0" fontId="0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0" borderId="56" xfId="44" applyNumberFormat="1" applyFont="1" applyFill="1" applyBorder="1" applyAlignment="1" applyProtection="1">
      <alignment horizontal="center"/>
      <protection/>
    </xf>
    <xf numFmtId="0" fontId="0" fillId="33" borderId="57" xfId="0" applyFont="1" applyFill="1" applyBorder="1" applyAlignment="1">
      <alignment vertical="center"/>
    </xf>
    <xf numFmtId="165" fontId="0" fillId="33" borderId="58" xfId="0" applyNumberFormat="1" applyFont="1" applyFill="1" applyBorder="1" applyAlignment="1">
      <alignment horizontal="center" vertical="center"/>
    </xf>
    <xf numFmtId="0" fontId="0" fillId="33" borderId="59" xfId="0" applyFill="1" applyBorder="1" applyAlignment="1">
      <alignment vertical="center"/>
    </xf>
    <xf numFmtId="165" fontId="0" fillId="33" borderId="35" xfId="0" applyNumberFormat="1" applyFont="1" applyFill="1" applyBorder="1" applyAlignment="1">
      <alignment horizontal="center" vertical="center"/>
    </xf>
    <xf numFmtId="165" fontId="0" fillId="33" borderId="60" xfId="0" applyNumberFormat="1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workbookViewId="0" topLeftCell="A1">
      <selection activeCell="B40" sqref="B40:C40"/>
    </sheetView>
  </sheetViews>
  <sheetFormatPr defaultColWidth="11.421875" defaultRowHeight="12.75"/>
  <cols>
    <col min="1" max="1" width="5.140625" style="1" customWidth="1"/>
    <col min="2" max="2" width="57.57421875" style="1" customWidth="1"/>
    <col min="3" max="3" width="16.7109375" style="1" customWidth="1"/>
    <col min="4" max="4" width="14.7109375" style="1" bestFit="1" customWidth="1"/>
    <col min="5" max="5" width="10.140625" style="1" bestFit="1" customWidth="1"/>
    <col min="6" max="6" width="9.57421875" style="2" customWidth="1"/>
    <col min="7" max="7" width="11.421875" style="1" customWidth="1"/>
    <col min="8" max="8" width="46.00390625" style="1" customWidth="1"/>
    <col min="9" max="9" width="17.00390625" style="1" customWidth="1"/>
    <col min="10" max="10" width="14.28125" style="1" customWidth="1"/>
    <col min="11" max="16384" width="11.421875" style="1" customWidth="1"/>
  </cols>
  <sheetData>
    <row r="1" spans="2:5" ht="12.75">
      <c r="B1" s="151" t="s">
        <v>0</v>
      </c>
      <c r="C1" s="151"/>
      <c r="D1" s="151"/>
      <c r="E1" s="151"/>
    </row>
    <row r="2" spans="2:5" ht="12.75">
      <c r="B2" s="152" t="s">
        <v>1</v>
      </c>
      <c r="C2" s="152"/>
      <c r="D2" s="152"/>
      <c r="E2" s="152"/>
    </row>
    <row r="3" spans="2:5" ht="12.75">
      <c r="B3" s="152" t="s">
        <v>2</v>
      </c>
      <c r="C3" s="152"/>
      <c r="D3" s="152"/>
      <c r="E3" s="152"/>
    </row>
    <row r="4" spans="2:5" ht="12.75">
      <c r="B4" s="153" t="s">
        <v>126</v>
      </c>
      <c r="C4" s="153"/>
      <c r="D4" s="153"/>
      <c r="E4" s="153"/>
    </row>
    <row r="5" spans="2:5" ht="24" customHeight="1">
      <c r="B5" s="154" t="s">
        <v>3</v>
      </c>
      <c r="C5" s="154"/>
      <c r="D5" s="154"/>
      <c r="E5" s="154"/>
    </row>
    <row r="6" spans="2:5" ht="12.75">
      <c r="B6" s="155" t="s">
        <v>128</v>
      </c>
      <c r="C6" s="155"/>
      <c r="D6" s="155"/>
      <c r="E6" s="155"/>
    </row>
    <row r="7" spans="2:5" ht="12.75">
      <c r="B7" s="153" t="s">
        <v>127</v>
      </c>
      <c r="C7" s="153"/>
      <c r="D7" s="153"/>
      <c r="E7" s="153"/>
    </row>
    <row r="8" spans="2:5" ht="12.75">
      <c r="B8" s="156" t="s">
        <v>112</v>
      </c>
      <c r="C8" s="156"/>
      <c r="D8" s="156"/>
      <c r="E8" s="156"/>
    </row>
    <row r="10" spans="1:5" s="2" customFormat="1" ht="12.75">
      <c r="A10" s="1"/>
      <c r="B10" s="157" t="s">
        <v>4</v>
      </c>
      <c r="C10" s="157"/>
      <c r="D10" s="157"/>
      <c r="E10" s="157"/>
    </row>
    <row r="11" spans="1:5" s="2" customFormat="1" ht="17.25" customHeight="1">
      <c r="A11" s="1"/>
      <c r="B11" s="3" t="s">
        <v>5</v>
      </c>
      <c r="C11" s="4"/>
      <c r="D11" s="4"/>
      <c r="E11" s="4"/>
    </row>
    <row r="12" spans="1:5" s="2" customFormat="1" ht="15.75" customHeight="1">
      <c r="A12" s="1"/>
      <c r="B12" s="189" t="s">
        <v>6</v>
      </c>
      <c r="C12" s="190" t="s">
        <v>145</v>
      </c>
      <c r="D12" s="190"/>
      <c r="E12" s="190"/>
    </row>
    <row r="13" spans="1:5" s="2" customFormat="1" ht="15.75" customHeight="1">
      <c r="A13" s="1"/>
      <c r="B13" s="189" t="s">
        <v>7</v>
      </c>
      <c r="C13" s="191">
        <v>20.88</v>
      </c>
      <c r="D13" s="191"/>
      <c r="E13" s="191"/>
    </row>
    <row r="14" spans="1:5" s="2" customFormat="1" ht="15.75" customHeight="1">
      <c r="A14" s="1"/>
      <c r="B14" s="189" t="s">
        <v>8</v>
      </c>
      <c r="C14" s="192" t="s">
        <v>146</v>
      </c>
      <c r="D14" s="193"/>
      <c r="E14" s="193"/>
    </row>
    <row r="15" spans="1:5" s="2" customFormat="1" ht="15.75" customHeight="1">
      <c r="A15" s="1"/>
      <c r="B15" s="189" t="s">
        <v>9</v>
      </c>
      <c r="C15" s="194">
        <v>2633.99</v>
      </c>
      <c r="D15" s="194"/>
      <c r="E15" s="194"/>
    </row>
    <row r="16" spans="1:5" s="2" customFormat="1" ht="15.75" customHeight="1">
      <c r="A16" s="1"/>
      <c r="B16" s="189" t="s">
        <v>10</v>
      </c>
      <c r="C16" s="191" t="s">
        <v>129</v>
      </c>
      <c r="D16" s="191"/>
      <c r="E16" s="191"/>
    </row>
    <row r="17" spans="1:5" s="2" customFormat="1" ht="15.75" customHeight="1">
      <c r="A17" s="1"/>
      <c r="B17" s="189" t="s">
        <v>119</v>
      </c>
      <c r="C17" s="195">
        <v>23</v>
      </c>
      <c r="D17" s="195"/>
      <c r="E17" s="195"/>
    </row>
    <row r="18" spans="1:5" s="2" customFormat="1" ht="15.75" customHeight="1">
      <c r="A18" s="1"/>
      <c r="B18" s="189" t="s">
        <v>163</v>
      </c>
      <c r="C18" s="196"/>
      <c r="D18" s="196"/>
      <c r="E18" s="196"/>
    </row>
    <row r="19" spans="1:5" s="2" customFormat="1" ht="15.75" customHeight="1">
      <c r="A19" s="1"/>
      <c r="B19" s="189" t="s">
        <v>164</v>
      </c>
      <c r="C19" s="196"/>
      <c r="D19" s="196"/>
      <c r="E19" s="196"/>
    </row>
    <row r="20" spans="1:5" s="2" customFormat="1" ht="15.75" customHeight="1">
      <c r="A20" s="1"/>
      <c r="B20" s="189" t="s">
        <v>165</v>
      </c>
      <c r="C20" s="196"/>
      <c r="D20" s="196"/>
      <c r="E20" s="196"/>
    </row>
    <row r="21" spans="1:5" s="2" customFormat="1" ht="15.75" customHeight="1">
      <c r="A21" s="1"/>
      <c r="B21" s="189" t="s">
        <v>166</v>
      </c>
      <c r="C21" s="196"/>
      <c r="D21" s="196"/>
      <c r="E21" s="196"/>
    </row>
    <row r="22" spans="1:5" s="2" customFormat="1" ht="15.75" customHeight="1">
      <c r="A22" s="1"/>
      <c r="B22" s="197" t="s">
        <v>167</v>
      </c>
      <c r="C22" s="196"/>
      <c r="D22" s="196"/>
      <c r="E22" s="196"/>
    </row>
    <row r="23" spans="1:2" s="2" customFormat="1" ht="12" customHeight="1" thickBot="1">
      <c r="A23" s="1"/>
      <c r="B23" s="1"/>
    </row>
    <row r="24" spans="1:3" s="2" customFormat="1" ht="15.75" customHeight="1">
      <c r="A24" s="165" t="s">
        <v>11</v>
      </c>
      <c r="B24" s="165"/>
      <c r="C24" s="165"/>
    </row>
    <row r="25" spans="1:3" s="2" customFormat="1" ht="15.75" customHeight="1">
      <c r="A25" s="32">
        <v>1</v>
      </c>
      <c r="B25" s="33" t="s">
        <v>12</v>
      </c>
      <c r="C25" s="34" t="s">
        <v>13</v>
      </c>
    </row>
    <row r="26" spans="1:3" s="2" customFormat="1" ht="15.75" customHeight="1">
      <c r="A26" s="35" t="s">
        <v>14</v>
      </c>
      <c r="B26" s="36" t="s">
        <v>15</v>
      </c>
      <c r="C26" s="37">
        <f>C15</f>
        <v>2633.99</v>
      </c>
    </row>
    <row r="27" spans="1:3" s="2" customFormat="1" ht="15.75" customHeight="1">
      <c r="A27" s="35" t="s">
        <v>16</v>
      </c>
      <c r="B27" s="36" t="s">
        <v>17</v>
      </c>
      <c r="C27" s="38"/>
    </row>
    <row r="28" spans="1:6" ht="15.75" customHeight="1">
      <c r="A28" s="35" t="s">
        <v>18</v>
      </c>
      <c r="B28" s="36" t="s">
        <v>19</v>
      </c>
      <c r="C28" s="38"/>
      <c r="D28" s="2"/>
      <c r="F28" s="1"/>
    </row>
    <row r="29" spans="1:6" ht="15.75" customHeight="1">
      <c r="A29" s="35" t="s">
        <v>20</v>
      </c>
      <c r="B29" s="39" t="s">
        <v>155</v>
      </c>
      <c r="C29" s="38">
        <f>C26/220*0.2*(1.1429*3)*C13</f>
        <v>171.42786581040002</v>
      </c>
      <c r="D29" s="2"/>
      <c r="F29" s="1"/>
    </row>
    <row r="30" spans="1:6" ht="15.75" customHeight="1">
      <c r="A30" s="35" t="s">
        <v>22</v>
      </c>
      <c r="B30" s="39" t="s">
        <v>101</v>
      </c>
      <c r="C30" s="38"/>
      <c r="D30" s="2"/>
      <c r="F30" s="1"/>
    </row>
    <row r="31" spans="1:6" ht="16.5" customHeight="1">
      <c r="A31" s="35" t="s">
        <v>23</v>
      </c>
      <c r="B31" s="39" t="s">
        <v>153</v>
      </c>
      <c r="C31" s="38">
        <f>((C26/220)+C26/220*0.5)*20</f>
        <v>359.1804545454545</v>
      </c>
      <c r="D31" s="2"/>
      <c r="F31" s="1"/>
    </row>
    <row r="32" spans="1:6" ht="15.75" customHeight="1">
      <c r="A32" s="35" t="s">
        <v>43</v>
      </c>
      <c r="B32" s="39" t="s">
        <v>154</v>
      </c>
      <c r="C32" s="38">
        <f>((C26/220)+C26/220*1)*20</f>
        <v>478.9072727272727</v>
      </c>
      <c r="D32" s="2"/>
      <c r="F32" s="1"/>
    </row>
    <row r="33" spans="1:6" ht="24">
      <c r="A33" s="35"/>
      <c r="B33" s="136" t="s">
        <v>147</v>
      </c>
      <c r="C33" s="38">
        <f>SUM(C26:C32)</f>
        <v>3643.505593083127</v>
      </c>
      <c r="D33" s="2"/>
      <c r="F33" s="1"/>
    </row>
    <row r="34" spans="1:6" ht="15.75" customHeight="1">
      <c r="A34" s="35" t="s">
        <v>45</v>
      </c>
      <c r="B34" s="40" t="s">
        <v>148</v>
      </c>
      <c r="C34" s="41">
        <f>C29*20%</f>
        <v>34.285573162080006</v>
      </c>
      <c r="D34" s="2"/>
      <c r="F34" s="1"/>
    </row>
    <row r="35" spans="1:6" ht="15.75" customHeight="1">
      <c r="A35" s="127" t="s">
        <v>156</v>
      </c>
      <c r="B35" s="40" t="s">
        <v>158</v>
      </c>
      <c r="C35" s="141">
        <f>C31*0.2</f>
        <v>71.8360909090909</v>
      </c>
      <c r="D35" s="2"/>
      <c r="F35" s="1"/>
    </row>
    <row r="36" spans="1:6" ht="15.75" customHeight="1">
      <c r="A36" s="127" t="s">
        <v>157</v>
      </c>
      <c r="B36" s="40" t="s">
        <v>159</v>
      </c>
      <c r="C36" s="141">
        <f>C32*0.2</f>
        <v>95.78145454545455</v>
      </c>
      <c r="D36" s="30"/>
      <c r="F36" s="1"/>
    </row>
    <row r="37" spans="1:6" ht="15.75" customHeight="1" thickBot="1">
      <c r="A37" s="42"/>
      <c r="B37" s="43" t="s">
        <v>149</v>
      </c>
      <c r="C37" s="44">
        <f>C26+C29+C34+C31+C32+C35+C36</f>
        <v>3845.408711699752</v>
      </c>
      <c r="D37" s="2"/>
      <c r="F37" s="1"/>
    </row>
    <row r="38" spans="2:6" ht="15.75" customHeight="1" thickBot="1">
      <c r="B38" s="166"/>
      <c r="C38" s="166"/>
      <c r="D38" s="166"/>
      <c r="E38" s="2"/>
      <c r="F38" s="1"/>
    </row>
    <row r="39" spans="1:6" ht="15.75" customHeight="1">
      <c r="A39" s="5"/>
      <c r="B39" s="167" t="s">
        <v>25</v>
      </c>
      <c r="C39" s="167"/>
      <c r="D39" s="2"/>
      <c r="F39" s="1"/>
    </row>
    <row r="40" spans="1:6" ht="15.75" customHeight="1">
      <c r="A40" s="45"/>
      <c r="B40" s="169" t="s">
        <v>26</v>
      </c>
      <c r="C40" s="169"/>
      <c r="D40" s="2"/>
      <c r="F40" s="1"/>
    </row>
    <row r="41" spans="1:6" ht="15.75" customHeight="1">
      <c r="A41" s="32" t="s">
        <v>27</v>
      </c>
      <c r="B41" s="48" t="s">
        <v>28</v>
      </c>
      <c r="C41" s="34" t="s">
        <v>29</v>
      </c>
      <c r="D41" s="2"/>
      <c r="F41" s="1"/>
    </row>
    <row r="42" spans="1:6" ht="15.75" customHeight="1">
      <c r="A42" s="35" t="s">
        <v>14</v>
      </c>
      <c r="B42" s="46" t="s">
        <v>30</v>
      </c>
      <c r="C42" s="49">
        <f>C33*8.33%</f>
        <v>303.5040159038245</v>
      </c>
      <c r="D42" s="2"/>
      <c r="F42" s="1"/>
    </row>
    <row r="43" spans="1:6" ht="15.75" customHeight="1">
      <c r="A43" s="35" t="s">
        <v>16</v>
      </c>
      <c r="B43" s="46" t="s">
        <v>31</v>
      </c>
      <c r="C43" s="49">
        <f>C33*12.1%</f>
        <v>440.86417676305837</v>
      </c>
      <c r="D43" s="30"/>
      <c r="F43" s="1"/>
    </row>
    <row r="44" spans="1:6" ht="15.75" customHeight="1">
      <c r="A44" s="127"/>
      <c r="B44" s="130" t="s">
        <v>32</v>
      </c>
      <c r="C44" s="125">
        <f>SUM(C42:C43)</f>
        <v>744.3681926668828</v>
      </c>
      <c r="D44" s="30"/>
      <c r="F44" s="1"/>
    </row>
    <row r="45" spans="1:6" ht="34.5" thickBot="1">
      <c r="A45" s="137" t="s">
        <v>18</v>
      </c>
      <c r="B45" s="138" t="s">
        <v>118</v>
      </c>
      <c r="C45" s="139">
        <f>C37*7.82%</f>
        <v>300.7109612549206</v>
      </c>
      <c r="D45" s="30"/>
      <c r="F45" s="1"/>
    </row>
    <row r="46" spans="5:6" ht="15.75" customHeight="1" thickBot="1">
      <c r="E46" s="2"/>
      <c r="F46" s="1"/>
    </row>
    <row r="47" spans="1:6" ht="24.75" customHeight="1" thickBot="1">
      <c r="A47" s="170" t="s">
        <v>33</v>
      </c>
      <c r="B47" s="170"/>
      <c r="C47" s="170"/>
      <c r="D47" s="170"/>
      <c r="E47" s="2"/>
      <c r="F47" s="1"/>
    </row>
    <row r="48" spans="1:6" ht="13.5" customHeight="1" thickBot="1">
      <c r="A48" s="51" t="s">
        <v>34</v>
      </c>
      <c r="B48" s="52" t="s">
        <v>35</v>
      </c>
      <c r="C48" s="53" t="s">
        <v>36</v>
      </c>
      <c r="D48" s="54" t="s">
        <v>13</v>
      </c>
      <c r="E48" s="2"/>
      <c r="F48" s="1"/>
    </row>
    <row r="49" spans="1:6" ht="14.25" customHeight="1">
      <c r="A49" s="55" t="s">
        <v>14</v>
      </c>
      <c r="B49" s="56" t="s">
        <v>37</v>
      </c>
      <c r="C49" s="57">
        <v>20</v>
      </c>
      <c r="D49" s="58">
        <f>(C37*(C49/100))</f>
        <v>769.0817423399504</v>
      </c>
      <c r="E49" s="2"/>
      <c r="F49" s="1"/>
    </row>
    <row r="50" spans="1:6" ht="14.25" customHeight="1">
      <c r="A50" s="55" t="s">
        <v>16</v>
      </c>
      <c r="B50" s="59" t="s">
        <v>38</v>
      </c>
      <c r="C50" s="60">
        <v>2.5</v>
      </c>
      <c r="D50" s="61">
        <f>(C37*(C50/100))</f>
        <v>96.1352177924938</v>
      </c>
      <c r="E50" s="2"/>
      <c r="F50" s="1"/>
    </row>
    <row r="51" spans="1:6" ht="14.25" customHeight="1">
      <c r="A51" s="55" t="s">
        <v>18</v>
      </c>
      <c r="B51" s="62" t="s">
        <v>39</v>
      </c>
      <c r="C51" s="63">
        <v>6</v>
      </c>
      <c r="D51" s="49">
        <f aca="true" t="shared" si="0" ref="D51:D56">($C$37*(C51/100))</f>
        <v>230.7245227019851</v>
      </c>
      <c r="E51" s="2"/>
      <c r="F51" s="1"/>
    </row>
    <row r="52" spans="1:6" ht="14.25" customHeight="1">
      <c r="A52" s="55" t="s">
        <v>20</v>
      </c>
      <c r="B52" s="59" t="s">
        <v>40</v>
      </c>
      <c r="C52" s="60">
        <v>1.5</v>
      </c>
      <c r="D52" s="61">
        <f t="shared" si="0"/>
        <v>57.68113067549628</v>
      </c>
      <c r="E52" s="2"/>
      <c r="F52" s="1"/>
    </row>
    <row r="53" spans="1:6" ht="14.25" customHeight="1">
      <c r="A53" s="55" t="s">
        <v>22</v>
      </c>
      <c r="B53" s="59" t="s">
        <v>41</v>
      </c>
      <c r="C53" s="60">
        <v>1</v>
      </c>
      <c r="D53" s="61">
        <f t="shared" si="0"/>
        <v>38.45408711699752</v>
      </c>
      <c r="E53" s="2"/>
      <c r="F53" s="1"/>
    </row>
    <row r="54" spans="1:6" ht="14.25" customHeight="1">
      <c r="A54" s="55" t="s">
        <v>23</v>
      </c>
      <c r="B54" s="59" t="s">
        <v>42</v>
      </c>
      <c r="C54" s="60">
        <v>0.6000000000000001</v>
      </c>
      <c r="D54" s="61">
        <f t="shared" si="0"/>
        <v>23.072452270198518</v>
      </c>
      <c r="E54" s="2"/>
      <c r="F54" s="1"/>
    </row>
    <row r="55" spans="1:6" ht="14.25" customHeight="1">
      <c r="A55" s="55" t="s">
        <v>43</v>
      </c>
      <c r="B55" s="59" t="s">
        <v>44</v>
      </c>
      <c r="C55" s="60">
        <v>0.2</v>
      </c>
      <c r="D55" s="61">
        <f t="shared" si="0"/>
        <v>7.690817423399504</v>
      </c>
      <c r="E55" s="2"/>
      <c r="F55" s="1"/>
    </row>
    <row r="56" spans="1:6" ht="14.25" customHeight="1">
      <c r="A56" s="55" t="s">
        <v>45</v>
      </c>
      <c r="B56" s="62" t="s">
        <v>46</v>
      </c>
      <c r="C56" s="63">
        <v>8</v>
      </c>
      <c r="D56" s="49">
        <f t="shared" si="0"/>
        <v>307.63269693598016</v>
      </c>
      <c r="E56" s="2"/>
      <c r="F56" s="1"/>
    </row>
    <row r="57" spans="1:6" ht="14.25" customHeight="1" thickBot="1">
      <c r="A57" s="64"/>
      <c r="B57" s="65" t="s">
        <v>47</v>
      </c>
      <c r="C57" s="66">
        <f>SUM(C49:C56)</f>
        <v>39.8</v>
      </c>
      <c r="D57" s="67">
        <f>SUM(D49:D56)</f>
        <v>1530.4726672565012</v>
      </c>
      <c r="E57" s="2"/>
      <c r="F57" s="1"/>
    </row>
    <row r="58" spans="1:6" ht="14.25" customHeight="1">
      <c r="A58" s="68"/>
      <c r="B58" s="69" t="s">
        <v>48</v>
      </c>
      <c r="C58" s="68"/>
      <c r="D58" s="68"/>
      <c r="E58" s="2"/>
      <c r="F58" s="1"/>
    </row>
    <row r="59" spans="1:6" ht="14.25" customHeight="1" thickBot="1">
      <c r="A59" s="68"/>
      <c r="B59" s="69"/>
      <c r="C59" s="68"/>
      <c r="D59" s="68"/>
      <c r="E59" s="2"/>
      <c r="F59" s="1"/>
    </row>
    <row r="60" spans="1:6" ht="14.25" customHeight="1">
      <c r="A60" s="70"/>
      <c r="B60" s="71" t="s">
        <v>49</v>
      </c>
      <c r="C60" s="72"/>
      <c r="D60" s="2"/>
      <c r="F60" s="1"/>
    </row>
    <row r="61" spans="1:6" ht="14.25" customHeight="1">
      <c r="A61" s="32" t="s">
        <v>50</v>
      </c>
      <c r="B61" s="33" t="s">
        <v>51</v>
      </c>
      <c r="C61" s="34" t="s">
        <v>13</v>
      </c>
      <c r="D61" s="2"/>
      <c r="F61" s="1"/>
    </row>
    <row r="62" spans="1:6" ht="14.25" customHeight="1">
      <c r="A62" s="35" t="s">
        <v>14</v>
      </c>
      <c r="B62" s="73" t="s">
        <v>52</v>
      </c>
      <c r="C62" s="38">
        <f>(4.05*2*C13)</f>
        <v>169.128</v>
      </c>
      <c r="D62" s="2"/>
      <c r="F62" s="1"/>
    </row>
    <row r="63" spans="1:6" ht="14.25" customHeight="1">
      <c r="A63" s="35" t="s">
        <v>16</v>
      </c>
      <c r="B63" s="36" t="s">
        <v>150</v>
      </c>
      <c r="C63" s="38">
        <f>260-(260*0.2)</f>
        <v>208</v>
      </c>
      <c r="D63" s="2"/>
      <c r="F63" s="1"/>
    </row>
    <row r="64" spans="1:6" ht="14.25" customHeight="1">
      <c r="A64" s="35" t="s">
        <v>18</v>
      </c>
      <c r="B64" s="36" t="s">
        <v>151</v>
      </c>
      <c r="C64" s="38">
        <v>0</v>
      </c>
      <c r="D64" s="2"/>
      <c r="F64" s="1"/>
    </row>
    <row r="65" spans="1:6" ht="14.25" customHeight="1">
      <c r="A65" s="35" t="s">
        <v>20</v>
      </c>
      <c r="B65" s="36" t="s">
        <v>113</v>
      </c>
      <c r="C65" s="38">
        <v>0</v>
      </c>
      <c r="D65" s="2"/>
      <c r="F65" s="1"/>
    </row>
    <row r="66" spans="1:6" ht="14.25" customHeight="1" thickBot="1">
      <c r="A66" s="42"/>
      <c r="B66" s="43" t="s">
        <v>53</v>
      </c>
      <c r="C66" s="44">
        <f>SUM(C62:C65)</f>
        <v>377.128</v>
      </c>
      <c r="D66" s="2"/>
      <c r="F66" s="1"/>
    </row>
    <row r="67" spans="1:6" ht="14.25" customHeight="1" thickBot="1">
      <c r="A67" s="68"/>
      <c r="B67" s="74"/>
      <c r="C67" s="75"/>
      <c r="D67" s="11"/>
      <c r="E67" s="2"/>
      <c r="F67" s="1"/>
    </row>
    <row r="68" spans="1:6" ht="14.25" customHeight="1">
      <c r="A68" s="70"/>
      <c r="B68" s="76" t="s">
        <v>54</v>
      </c>
      <c r="C68" s="77"/>
      <c r="D68" s="2"/>
      <c r="F68" s="1"/>
    </row>
    <row r="69" spans="1:6" ht="14.25" customHeight="1">
      <c r="A69" s="35">
        <v>2</v>
      </c>
      <c r="B69" s="78" t="s">
        <v>55</v>
      </c>
      <c r="C69" s="79" t="s">
        <v>29</v>
      </c>
      <c r="D69" s="2"/>
      <c r="F69" s="1"/>
    </row>
    <row r="70" spans="1:6" ht="14.25" customHeight="1">
      <c r="A70" s="35" t="s">
        <v>27</v>
      </c>
      <c r="B70" s="36" t="s">
        <v>28</v>
      </c>
      <c r="C70" s="37">
        <f>C44</f>
        <v>744.3681926668828</v>
      </c>
      <c r="D70" s="2"/>
      <c r="F70" s="1"/>
    </row>
    <row r="71" spans="1:6" ht="14.25" customHeight="1">
      <c r="A71" s="35" t="s">
        <v>34</v>
      </c>
      <c r="B71" s="36" t="s">
        <v>35</v>
      </c>
      <c r="C71" s="37">
        <f>D57+C45</f>
        <v>1831.1836285114218</v>
      </c>
      <c r="D71" s="2"/>
      <c r="F71" s="1"/>
    </row>
    <row r="72" spans="1:6" ht="14.25" customHeight="1">
      <c r="A72" s="35" t="s">
        <v>50</v>
      </c>
      <c r="B72" s="36" t="s">
        <v>51</v>
      </c>
      <c r="C72" s="37">
        <f>C66</f>
        <v>377.128</v>
      </c>
      <c r="D72" s="2"/>
      <c r="F72" s="1"/>
    </row>
    <row r="73" spans="1:6" ht="14.25" customHeight="1" thickBot="1">
      <c r="A73" s="42"/>
      <c r="B73" s="80" t="s">
        <v>32</v>
      </c>
      <c r="C73" s="81">
        <f>SUM(C70:C72)</f>
        <v>2952.679821178305</v>
      </c>
      <c r="D73" s="2"/>
      <c r="F73" s="1"/>
    </row>
    <row r="74" spans="2:6" ht="14.25" customHeight="1" thickBot="1">
      <c r="B74" s="13"/>
      <c r="C74" s="11"/>
      <c r="D74" s="11"/>
      <c r="E74" s="2"/>
      <c r="F74" s="1"/>
    </row>
    <row r="75" spans="1:6" ht="14.25" customHeight="1">
      <c r="A75" s="83"/>
      <c r="B75" s="84" t="s">
        <v>117</v>
      </c>
      <c r="C75" s="85"/>
      <c r="D75" s="2"/>
      <c r="F75" s="1"/>
    </row>
    <row r="76" spans="1:6" ht="14.25" customHeight="1">
      <c r="A76" s="86">
        <v>3</v>
      </c>
      <c r="B76" s="87" t="s">
        <v>56</v>
      </c>
      <c r="C76" s="88" t="s">
        <v>13</v>
      </c>
      <c r="D76" s="2"/>
      <c r="F76" s="1"/>
    </row>
    <row r="77" spans="1:6" ht="14.25" customHeight="1">
      <c r="A77" s="89" t="s">
        <v>14</v>
      </c>
      <c r="B77" s="90" t="s">
        <v>57</v>
      </c>
      <c r="C77" s="91">
        <f>((C33+C42+C43)/12)*5%</f>
        <v>18.282807440625042</v>
      </c>
      <c r="D77" s="2"/>
      <c r="F77" s="1"/>
    </row>
    <row r="78" spans="1:6" ht="14.25" customHeight="1">
      <c r="A78" s="89" t="s">
        <v>16</v>
      </c>
      <c r="B78" s="90" t="s">
        <v>58</v>
      </c>
      <c r="C78" s="91">
        <f>((C33+C42)/12)*5%*8%</f>
        <v>1.3156698696623172</v>
      </c>
      <c r="D78" s="2"/>
      <c r="F78" s="1"/>
    </row>
    <row r="79" spans="1:6" ht="14.25" customHeight="1">
      <c r="A79" s="89" t="s">
        <v>18</v>
      </c>
      <c r="B79" s="90" t="s">
        <v>59</v>
      </c>
      <c r="C79" s="91">
        <v>0</v>
      </c>
      <c r="D79" s="2"/>
      <c r="F79" s="1"/>
    </row>
    <row r="80" spans="1:6" ht="14.25" customHeight="1">
      <c r="A80" s="89" t="s">
        <v>20</v>
      </c>
      <c r="B80" s="90" t="s">
        <v>60</v>
      </c>
      <c r="C80" s="91">
        <f>((C33+C64)/30/12*7)</f>
        <v>70.84594208772748</v>
      </c>
      <c r="D80" s="2"/>
      <c r="F80" s="1"/>
    </row>
    <row r="81" spans="1:6" ht="22.5">
      <c r="A81" s="89" t="s">
        <v>22</v>
      </c>
      <c r="B81" s="90" t="s">
        <v>61</v>
      </c>
      <c r="C81" s="92">
        <f>(C33/30/12*7)*8%</f>
        <v>5.667675367018198</v>
      </c>
      <c r="D81" s="2"/>
      <c r="F81" s="1"/>
    </row>
    <row r="82" spans="1:6" ht="14.25" customHeight="1">
      <c r="A82" s="89" t="s">
        <v>23</v>
      </c>
      <c r="B82" s="90" t="s">
        <v>62</v>
      </c>
      <c r="C82" s="91">
        <f>C33*4%</f>
        <v>145.7402237233251</v>
      </c>
      <c r="D82" s="2"/>
      <c r="F82" s="1"/>
    </row>
    <row r="83" spans="1:6" ht="14.25" customHeight="1">
      <c r="A83" s="93"/>
      <c r="B83" s="87" t="s">
        <v>47</v>
      </c>
      <c r="C83" s="94">
        <f>SUM(C77:C82)</f>
        <v>241.85231848835815</v>
      </c>
      <c r="D83" s="2"/>
      <c r="F83" s="1"/>
    </row>
    <row r="84" spans="5:6" ht="14.25" customHeight="1" thickBot="1">
      <c r="E84" s="2"/>
      <c r="F84" s="1"/>
    </row>
    <row r="85" spans="1:6" ht="14.25" customHeight="1">
      <c r="A85" s="5"/>
      <c r="B85" s="82" t="s">
        <v>116</v>
      </c>
      <c r="C85" s="14"/>
      <c r="D85" s="31"/>
      <c r="F85" s="1"/>
    </row>
    <row r="86" spans="1:6" ht="14.25" customHeight="1">
      <c r="A86" s="45"/>
      <c r="B86" s="78" t="s">
        <v>64</v>
      </c>
      <c r="C86" s="34"/>
      <c r="D86" s="2"/>
      <c r="F86" s="1"/>
    </row>
    <row r="87" spans="1:6" ht="14.25" customHeight="1">
      <c r="A87" s="32" t="s">
        <v>65</v>
      </c>
      <c r="B87" s="95" t="s">
        <v>66</v>
      </c>
      <c r="C87" s="96" t="s">
        <v>13</v>
      </c>
      <c r="D87" s="2"/>
      <c r="F87" s="1"/>
    </row>
    <row r="88" spans="1:6" ht="14.25" customHeight="1">
      <c r="A88" s="35" t="s">
        <v>14</v>
      </c>
      <c r="B88" s="97" t="s">
        <v>67</v>
      </c>
      <c r="C88" s="98">
        <v>0</v>
      </c>
      <c r="D88" s="2"/>
      <c r="F88" s="1"/>
    </row>
    <row r="89" spans="1:6" ht="14.25" customHeight="1">
      <c r="A89" s="35" t="s">
        <v>16</v>
      </c>
      <c r="B89" s="97" t="s">
        <v>109</v>
      </c>
      <c r="C89" s="98">
        <f>(((C33+C73+C83+C92+C112)-(C62-C63-C110-C111))/30*2.96)/12</f>
        <v>57.04487469730254</v>
      </c>
      <c r="D89" s="2"/>
      <c r="F89" s="1"/>
    </row>
    <row r="90" spans="1:6" ht="14.25" customHeight="1">
      <c r="A90" s="35" t="s">
        <v>18</v>
      </c>
      <c r="B90" s="97" t="s">
        <v>110</v>
      </c>
      <c r="C90" s="98">
        <f>(((C33+C73+C83+C92+C112)-(C62-C63-C110-C111))/30*5*1.5%)/12</f>
        <v>1.4453937845600304</v>
      </c>
      <c r="D90" s="2"/>
      <c r="F90" s="1"/>
    </row>
    <row r="91" spans="1:6" ht="14.25" customHeight="1">
      <c r="A91" s="35" t="s">
        <v>20</v>
      </c>
      <c r="B91" s="97" t="s">
        <v>111</v>
      </c>
      <c r="C91" s="98">
        <f>(((C33+C73+C83+C92+C112)-(C62-C63-C110-C111))/30*15*0.78%)/12</f>
        <v>2.254814303913648</v>
      </c>
      <c r="D91" s="2"/>
      <c r="F91" s="1"/>
    </row>
    <row r="92" spans="1:6" ht="14.25" customHeight="1">
      <c r="A92" s="35" t="s">
        <v>22</v>
      </c>
      <c r="B92" s="97" t="s">
        <v>114</v>
      </c>
      <c r="C92" s="98">
        <f>(((C43*3.95/12)+(C64*3.95*0.0865%))/12+((C33+C42)*39.8%*3.95)*0.0865%/12)</f>
        <v>12.540433138356626</v>
      </c>
      <c r="D92" s="30"/>
      <c r="F92" s="1"/>
    </row>
    <row r="93" spans="1:6" ht="14.25" customHeight="1">
      <c r="A93" s="35" t="s">
        <v>23</v>
      </c>
      <c r="B93" s="99" t="s">
        <v>68</v>
      </c>
      <c r="C93" s="98">
        <v>0</v>
      </c>
      <c r="D93" s="2"/>
      <c r="F93" s="1"/>
    </row>
    <row r="94" spans="1:6" ht="14.25" customHeight="1" thickBot="1">
      <c r="A94" s="42"/>
      <c r="B94" s="100" t="s">
        <v>47</v>
      </c>
      <c r="C94" s="50">
        <f>SUM(C88:C93)</f>
        <v>73.28551592413285</v>
      </c>
      <c r="D94" s="2"/>
      <c r="F94" s="1"/>
    </row>
    <row r="95" spans="1:6" ht="14.25" customHeight="1" thickBot="1">
      <c r="A95" s="68"/>
      <c r="B95" s="68"/>
      <c r="C95" s="68"/>
      <c r="E95" s="2"/>
      <c r="F95" s="1"/>
    </row>
    <row r="96" spans="1:6" ht="14.25" customHeight="1">
      <c r="A96" s="101"/>
      <c r="B96" s="171" t="s">
        <v>69</v>
      </c>
      <c r="C96" s="171"/>
      <c r="D96" s="2"/>
      <c r="F96" s="1"/>
    </row>
    <row r="97" spans="1:6" ht="14.25" customHeight="1">
      <c r="A97" s="32" t="s">
        <v>70</v>
      </c>
      <c r="B97" s="95" t="s">
        <v>71</v>
      </c>
      <c r="C97" s="96" t="s">
        <v>13</v>
      </c>
      <c r="D97" s="2"/>
      <c r="F97" s="1"/>
    </row>
    <row r="98" spans="1:6" ht="14.25" customHeight="1">
      <c r="A98" s="35" t="s">
        <v>14</v>
      </c>
      <c r="B98" s="102" t="s">
        <v>72</v>
      </c>
      <c r="C98" s="124">
        <v>0</v>
      </c>
      <c r="D98" s="2"/>
      <c r="F98" s="1"/>
    </row>
    <row r="99" spans="1:6" ht="14.25" customHeight="1" thickBot="1">
      <c r="A99" s="47"/>
      <c r="B99" s="100" t="s">
        <v>47</v>
      </c>
      <c r="C99" s="103"/>
      <c r="D99" s="15"/>
      <c r="F99" s="1"/>
    </row>
    <row r="100" spans="1:6" ht="14.25" customHeight="1" thickBot="1">
      <c r="A100" s="68"/>
      <c r="B100" s="68"/>
      <c r="C100" s="68"/>
      <c r="E100" s="2"/>
      <c r="F100" s="1"/>
    </row>
    <row r="101" spans="1:6" ht="14.25" customHeight="1">
      <c r="A101" s="70"/>
      <c r="B101" s="76" t="s">
        <v>73</v>
      </c>
      <c r="C101" s="77"/>
      <c r="D101" s="2"/>
      <c r="F101" s="1"/>
    </row>
    <row r="102" spans="1:6" ht="14.25" customHeight="1">
      <c r="A102" s="32">
        <v>4</v>
      </c>
      <c r="B102" s="78" t="s">
        <v>74</v>
      </c>
      <c r="C102" s="79" t="s">
        <v>29</v>
      </c>
      <c r="D102" s="2"/>
      <c r="F102" s="1"/>
    </row>
    <row r="103" spans="1:4" s="17" customFormat="1" ht="15" customHeight="1">
      <c r="A103" s="35" t="s">
        <v>65</v>
      </c>
      <c r="B103" s="36" t="s">
        <v>66</v>
      </c>
      <c r="C103" s="37">
        <f>C94</f>
        <v>73.28551592413285</v>
      </c>
      <c r="D103" s="16"/>
    </row>
    <row r="104" spans="1:6" ht="15" customHeight="1">
      <c r="A104" s="35" t="s">
        <v>70</v>
      </c>
      <c r="B104" s="36" t="s">
        <v>71</v>
      </c>
      <c r="C104" s="37">
        <f>C99</f>
        <v>0</v>
      </c>
      <c r="D104" s="2"/>
      <c r="F104" s="1"/>
    </row>
    <row r="105" spans="1:6" ht="15" customHeight="1" thickBot="1">
      <c r="A105" s="42"/>
      <c r="B105" s="80" t="s">
        <v>32</v>
      </c>
      <c r="C105" s="44">
        <f>SUM(C103:C104)</f>
        <v>73.28551592413285</v>
      </c>
      <c r="D105" s="2"/>
      <c r="F105" s="1"/>
    </row>
    <row r="106" ht="15" customHeight="1" thickBot="1">
      <c r="F106" s="1"/>
    </row>
    <row r="107" spans="1:6" ht="15" customHeight="1">
      <c r="A107" s="18"/>
      <c r="B107" s="82" t="s">
        <v>75</v>
      </c>
      <c r="C107" s="12"/>
      <c r="F107" s="1"/>
    </row>
    <row r="108" spans="1:6" ht="15" customHeight="1">
      <c r="A108" s="104">
        <v>5</v>
      </c>
      <c r="B108" s="105" t="s">
        <v>76</v>
      </c>
      <c r="C108" s="34" t="s">
        <v>13</v>
      </c>
      <c r="F108" s="1"/>
    </row>
    <row r="109" spans="1:6" ht="15" customHeight="1">
      <c r="A109" s="106" t="s">
        <v>14</v>
      </c>
      <c r="B109" s="107" t="s">
        <v>77</v>
      </c>
      <c r="C109" s="140">
        <v>41.86</v>
      </c>
      <c r="F109" s="1"/>
    </row>
    <row r="110" spans="1:6" ht="15" customHeight="1">
      <c r="A110" s="106" t="s">
        <v>16</v>
      </c>
      <c r="B110" s="107" t="s">
        <v>152</v>
      </c>
      <c r="C110" s="134">
        <v>0</v>
      </c>
      <c r="F110" s="1"/>
    </row>
    <row r="111" spans="1:6" ht="15" customHeight="1">
      <c r="A111" s="106" t="s">
        <v>18</v>
      </c>
      <c r="B111" s="107" t="s">
        <v>78</v>
      </c>
      <c r="C111" s="134">
        <v>3.29</v>
      </c>
      <c r="F111" s="1"/>
    </row>
    <row r="112" spans="1:6" ht="15" customHeight="1" thickBot="1">
      <c r="A112" s="108"/>
      <c r="B112" s="109" t="s">
        <v>79</v>
      </c>
      <c r="C112" s="110">
        <f>SUM(C109:C111)</f>
        <v>45.15</v>
      </c>
      <c r="F112" s="1"/>
    </row>
    <row r="113" spans="1:6" ht="15" customHeight="1" thickBot="1">
      <c r="A113" s="19"/>
      <c r="B113" s="20"/>
      <c r="C113" s="21"/>
      <c r="D113" s="21"/>
      <c r="F113" s="1"/>
    </row>
    <row r="114" spans="1:6" ht="15" customHeight="1">
      <c r="A114" s="22"/>
      <c r="B114" s="167" t="s">
        <v>80</v>
      </c>
      <c r="C114" s="167"/>
      <c r="D114" s="167"/>
      <c r="F114" s="1"/>
    </row>
    <row r="115" spans="1:6" ht="15" customHeight="1">
      <c r="A115" s="104">
        <v>6</v>
      </c>
      <c r="B115" s="95" t="s">
        <v>82</v>
      </c>
      <c r="C115" s="111" t="s">
        <v>36</v>
      </c>
      <c r="D115" s="96" t="s">
        <v>13</v>
      </c>
      <c r="F115" s="1"/>
    </row>
    <row r="116" spans="1:6" ht="15" customHeight="1">
      <c r="A116" s="106" t="s">
        <v>14</v>
      </c>
      <c r="B116" s="112" t="s">
        <v>83</v>
      </c>
      <c r="C116" s="113">
        <v>7.01</v>
      </c>
      <c r="D116" s="49">
        <f>(C133)*C116/100</f>
        <v>501.80218334706734</v>
      </c>
      <c r="F116" s="1"/>
    </row>
    <row r="117" spans="1:6" ht="15" customHeight="1">
      <c r="A117" s="106" t="s">
        <v>16</v>
      </c>
      <c r="B117" s="112" t="s">
        <v>84</v>
      </c>
      <c r="C117" s="113">
        <v>5.18</v>
      </c>
      <c r="D117" s="49">
        <f>(C133+D116)*C117/100</f>
        <v>396.7972489230284</v>
      </c>
      <c r="F117" s="1"/>
    </row>
    <row r="118" spans="1:6" ht="15" customHeight="1">
      <c r="A118" s="106" t="s">
        <v>18</v>
      </c>
      <c r="B118" s="112" t="s">
        <v>85</v>
      </c>
      <c r="C118" s="113"/>
      <c r="D118" s="49"/>
      <c r="F118" s="1"/>
    </row>
    <row r="119" spans="1:6" ht="15" customHeight="1">
      <c r="A119" s="106"/>
      <c r="B119" s="112" t="s">
        <v>86</v>
      </c>
      <c r="C119" s="113">
        <f>3+0.65</f>
        <v>3.65</v>
      </c>
      <c r="D119" s="49">
        <f>((C133+D116+D117)/(1-(C119+C121)/100))*C119/100</f>
        <v>321.92623610723973</v>
      </c>
      <c r="F119" s="1"/>
    </row>
    <row r="120" spans="1:6" ht="15" customHeight="1">
      <c r="A120" s="106"/>
      <c r="B120" s="112" t="s">
        <v>87</v>
      </c>
      <c r="C120" s="113"/>
      <c r="D120" s="49"/>
      <c r="F120" s="1"/>
    </row>
    <row r="121" spans="1:6" ht="15" customHeight="1">
      <c r="A121" s="106"/>
      <c r="B121" s="112" t="s">
        <v>88</v>
      </c>
      <c r="C121" s="114">
        <v>5</v>
      </c>
      <c r="D121" s="49">
        <f>((C133+D116+D117)/(1-(C119+C121)/100))*C121/100</f>
        <v>440.9948439825202</v>
      </c>
      <c r="F121" s="1"/>
    </row>
    <row r="122" spans="1:6" ht="15" customHeight="1">
      <c r="A122" s="106"/>
      <c r="B122" s="112" t="s">
        <v>89</v>
      </c>
      <c r="C122" s="113"/>
      <c r="D122" s="49"/>
      <c r="F122" s="1"/>
    </row>
    <row r="123" spans="1:6" ht="15" customHeight="1" thickBot="1">
      <c r="A123" s="115"/>
      <c r="B123" s="100" t="s">
        <v>47</v>
      </c>
      <c r="C123" s="116">
        <f>SUM(C116:C122)</f>
        <v>20.84</v>
      </c>
      <c r="D123" s="50">
        <f>SUM(D116:D122)</f>
        <v>1661.5205123598557</v>
      </c>
      <c r="F123" s="1"/>
    </row>
    <row r="124" spans="1:6" ht="15" customHeight="1">
      <c r="A124" s="19"/>
      <c r="B124" s="20"/>
      <c r="C124" s="21"/>
      <c r="D124" s="21"/>
      <c r="F124" s="1"/>
    </row>
    <row r="125" spans="1:4" s="17" customFormat="1" ht="15" customHeight="1">
      <c r="A125" s="172" t="s">
        <v>90</v>
      </c>
      <c r="B125" s="172"/>
      <c r="C125" s="172"/>
      <c r="D125" s="23"/>
    </row>
    <row r="126" spans="1:4" s="17" customFormat="1" ht="15" customHeight="1" thickBot="1">
      <c r="A126" s="1"/>
      <c r="B126" s="23"/>
      <c r="C126" s="1"/>
      <c r="D126" s="1"/>
    </row>
    <row r="127" spans="1:3" s="17" customFormat="1" ht="12.75">
      <c r="A127" s="70"/>
      <c r="B127" s="117" t="s">
        <v>91</v>
      </c>
      <c r="C127" s="118" t="s">
        <v>13</v>
      </c>
    </row>
    <row r="128" spans="1:3" s="17" customFormat="1" ht="15" customHeight="1">
      <c r="A128" s="45" t="s">
        <v>14</v>
      </c>
      <c r="B128" s="112" t="s">
        <v>92</v>
      </c>
      <c r="C128" s="49">
        <f>C37</f>
        <v>3845.408711699752</v>
      </c>
    </row>
    <row r="129" spans="1:3" s="17" customFormat="1" ht="15" customHeight="1">
      <c r="A129" s="45" t="s">
        <v>16</v>
      </c>
      <c r="B129" s="112" t="s">
        <v>93</v>
      </c>
      <c r="C129" s="49">
        <f>C73</f>
        <v>2952.679821178305</v>
      </c>
    </row>
    <row r="130" spans="1:3" s="17" customFormat="1" ht="15" customHeight="1">
      <c r="A130" s="45" t="s">
        <v>18</v>
      </c>
      <c r="B130" s="112" t="s">
        <v>94</v>
      </c>
      <c r="C130" s="49">
        <f>C83</f>
        <v>241.85231848835815</v>
      </c>
    </row>
    <row r="131" spans="1:3" s="17" customFormat="1" ht="15" customHeight="1">
      <c r="A131" s="45" t="s">
        <v>20</v>
      </c>
      <c r="B131" s="112" t="s">
        <v>63</v>
      </c>
      <c r="C131" s="49">
        <f>C105</f>
        <v>73.28551592413285</v>
      </c>
    </row>
    <row r="132" spans="1:3" s="17" customFormat="1" ht="15" customHeight="1">
      <c r="A132" s="45" t="s">
        <v>22</v>
      </c>
      <c r="B132" s="112" t="s">
        <v>95</v>
      </c>
      <c r="C132" s="49">
        <f>C112</f>
        <v>45.15</v>
      </c>
    </row>
    <row r="133" spans="1:3" s="17" customFormat="1" ht="15" customHeight="1">
      <c r="A133" s="45"/>
      <c r="B133" s="111" t="s">
        <v>96</v>
      </c>
      <c r="C133" s="119">
        <f>SUM(C128:C132)</f>
        <v>7158.376367290547</v>
      </c>
    </row>
    <row r="134" spans="1:3" s="17" customFormat="1" ht="15" customHeight="1">
      <c r="A134" s="45" t="s">
        <v>23</v>
      </c>
      <c r="B134" s="112" t="s">
        <v>97</v>
      </c>
      <c r="C134" s="49">
        <f>D123</f>
        <v>1661.5205123598557</v>
      </c>
    </row>
    <row r="135" spans="1:3" s="17" customFormat="1" ht="12.75">
      <c r="A135" s="45"/>
      <c r="B135" s="95" t="s">
        <v>98</v>
      </c>
      <c r="C135" s="119">
        <f>SUM(C133:C134)</f>
        <v>8819.896879650403</v>
      </c>
    </row>
    <row r="136" spans="1:3" s="17" customFormat="1" ht="15" customHeight="1" thickBot="1">
      <c r="A136" s="42"/>
      <c r="B136" s="120" t="s">
        <v>99</v>
      </c>
      <c r="C136" s="121">
        <f>C135/C37</f>
        <v>2.293617542607538</v>
      </c>
    </row>
    <row r="137" spans="1:5" s="17" customFormat="1" ht="15" customHeight="1">
      <c r="A137" s="1"/>
      <c r="B137" s="23"/>
      <c r="C137" s="1"/>
      <c r="D137" s="1"/>
      <c r="E137" s="1"/>
    </row>
    <row r="138" ht="13.5" thickBot="1"/>
    <row r="139" spans="1:4" ht="12.75">
      <c r="A139" s="22"/>
      <c r="B139" s="167" t="s">
        <v>81</v>
      </c>
      <c r="C139" s="167"/>
      <c r="D139" s="167"/>
    </row>
    <row r="140" spans="1:4" ht="12.75">
      <c r="A140" s="104">
        <v>6</v>
      </c>
      <c r="B140" s="95" t="s">
        <v>82</v>
      </c>
      <c r="C140" s="111" t="s">
        <v>36</v>
      </c>
      <c r="D140" s="96" t="s">
        <v>13</v>
      </c>
    </row>
    <row r="141" spans="1:4" ht="12.75">
      <c r="A141" s="106" t="s">
        <v>14</v>
      </c>
      <c r="B141" s="112" t="s">
        <v>83</v>
      </c>
      <c r="C141" s="113">
        <v>5.09</v>
      </c>
      <c r="D141" s="49">
        <f>(C158)*C141/100</f>
        <v>364.3613570950888</v>
      </c>
    </row>
    <row r="142" spans="1:4" ht="12.75">
      <c r="A142" s="106" t="s">
        <v>16</v>
      </c>
      <c r="B142" s="112" t="s">
        <v>84</v>
      </c>
      <c r="C142" s="113">
        <v>6.33</v>
      </c>
      <c r="D142" s="49">
        <f>(C158+D141)*C142/100</f>
        <v>476.1892979536107</v>
      </c>
    </row>
    <row r="143" spans="1:4" ht="12.75">
      <c r="A143" s="106" t="s">
        <v>18</v>
      </c>
      <c r="B143" s="112" t="s">
        <v>85</v>
      </c>
      <c r="C143" s="113"/>
      <c r="D143" s="49"/>
    </row>
    <row r="144" spans="1:4" ht="12.75">
      <c r="A144" s="106"/>
      <c r="B144" s="112" t="s">
        <v>115</v>
      </c>
      <c r="C144" s="63">
        <f>1.65+7.6</f>
        <v>9.25</v>
      </c>
      <c r="D144" s="49">
        <f>((C158+D141+D142)/(1-(C144+C146)/100))*C144/100</f>
        <v>862.8580169870323</v>
      </c>
    </row>
    <row r="145" spans="1:4" ht="12.75">
      <c r="A145" s="106"/>
      <c r="B145" s="112" t="s">
        <v>87</v>
      </c>
      <c r="C145" s="113"/>
      <c r="D145" s="49"/>
    </row>
    <row r="146" spans="1:4" ht="12.75">
      <c r="A146" s="106"/>
      <c r="B146" s="112" t="s">
        <v>88</v>
      </c>
      <c r="C146" s="114">
        <v>5</v>
      </c>
      <c r="D146" s="49">
        <f>((C158+D141+D142)/(1-(C144+C146)/100))*C146/100</f>
        <v>466.40973891190936</v>
      </c>
    </row>
    <row r="147" spans="1:4" ht="12.75">
      <c r="A147" s="106"/>
      <c r="B147" s="112" t="s">
        <v>89</v>
      </c>
      <c r="C147" s="113"/>
      <c r="D147" s="49"/>
    </row>
    <row r="148" spans="1:4" ht="13.5" thickBot="1">
      <c r="A148" s="115"/>
      <c r="B148" s="100" t="s">
        <v>47</v>
      </c>
      <c r="C148" s="116">
        <f>SUM(C141:C147)</f>
        <v>25.67</v>
      </c>
      <c r="D148" s="50">
        <f>SUM(D141:D147)</f>
        <v>2169.818410947641</v>
      </c>
    </row>
    <row r="149" spans="1:4" ht="12.75">
      <c r="A149" s="68"/>
      <c r="B149" s="68"/>
      <c r="C149" s="68"/>
      <c r="D149" s="68"/>
    </row>
    <row r="150" spans="1:4" ht="12.75">
      <c r="A150" s="168" t="s">
        <v>90</v>
      </c>
      <c r="B150" s="168"/>
      <c r="C150" s="168"/>
      <c r="D150" s="122"/>
    </row>
    <row r="151" spans="1:4" ht="13.5" thickBot="1">
      <c r="A151" s="68"/>
      <c r="B151" s="123"/>
      <c r="C151" s="68"/>
      <c r="D151" s="122"/>
    </row>
    <row r="152" spans="1:4" ht="12.75">
      <c r="A152" s="70"/>
      <c r="B152" s="117" t="s">
        <v>91</v>
      </c>
      <c r="C152" s="118" t="s">
        <v>13</v>
      </c>
      <c r="D152" s="122"/>
    </row>
    <row r="153" spans="1:4" ht="12.75">
      <c r="A153" s="45" t="s">
        <v>14</v>
      </c>
      <c r="B153" s="112" t="s">
        <v>92</v>
      </c>
      <c r="C153" s="49">
        <f>C128</f>
        <v>3845.408711699752</v>
      </c>
      <c r="D153" s="122"/>
    </row>
    <row r="154" spans="1:4" ht="12.75">
      <c r="A154" s="45" t="s">
        <v>16</v>
      </c>
      <c r="B154" s="112" t="s">
        <v>93</v>
      </c>
      <c r="C154" s="49">
        <f>C129</f>
        <v>2952.679821178305</v>
      </c>
      <c r="D154" s="122"/>
    </row>
    <row r="155" spans="1:4" ht="12.75">
      <c r="A155" s="45" t="s">
        <v>18</v>
      </c>
      <c r="B155" s="112" t="s">
        <v>94</v>
      </c>
      <c r="C155" s="49">
        <f>C130</f>
        <v>241.85231848835815</v>
      </c>
      <c r="D155" s="122"/>
    </row>
    <row r="156" spans="1:4" ht="12.75">
      <c r="A156" s="45" t="s">
        <v>20</v>
      </c>
      <c r="B156" s="112" t="s">
        <v>63</v>
      </c>
      <c r="C156" s="49">
        <f>C131</f>
        <v>73.28551592413285</v>
      </c>
      <c r="D156" s="122"/>
    </row>
    <row r="157" spans="1:4" ht="12.75">
      <c r="A157" s="45" t="s">
        <v>22</v>
      </c>
      <c r="B157" s="112" t="s">
        <v>95</v>
      </c>
      <c r="C157" s="49">
        <f>C132</f>
        <v>45.15</v>
      </c>
      <c r="D157" s="122"/>
    </row>
    <row r="158" spans="1:4" ht="12.75">
      <c r="A158" s="45"/>
      <c r="B158" s="111" t="s">
        <v>96</v>
      </c>
      <c r="C158" s="119">
        <f>SUM(C153:C157)</f>
        <v>7158.376367290547</v>
      </c>
      <c r="D158" s="122"/>
    </row>
    <row r="159" spans="1:4" ht="12.75">
      <c r="A159" s="45" t="s">
        <v>23</v>
      </c>
      <c r="B159" s="112" t="s">
        <v>97</v>
      </c>
      <c r="C159" s="49">
        <f>D148</f>
        <v>2169.818410947641</v>
      </c>
      <c r="D159" s="122"/>
    </row>
    <row r="160" spans="1:4" ht="12.75">
      <c r="A160" s="45"/>
      <c r="B160" s="95" t="s">
        <v>98</v>
      </c>
      <c r="C160" s="119">
        <f>SUM(C158:C159)</f>
        <v>9328.194778238189</v>
      </c>
      <c r="D160" s="122"/>
    </row>
    <row r="161" spans="1:4" ht="13.5" thickBot="1">
      <c r="A161" s="42"/>
      <c r="B161" s="120" t="s">
        <v>99</v>
      </c>
      <c r="C161" s="121">
        <f>C160/C37</f>
        <v>2.425800604720357</v>
      </c>
      <c r="D161" s="122"/>
    </row>
  </sheetData>
  <sheetProtection/>
  <mergeCells count="30">
    <mergeCell ref="C22:E22"/>
    <mergeCell ref="B139:D139"/>
    <mergeCell ref="A150:C150"/>
    <mergeCell ref="B39:C39"/>
    <mergeCell ref="B40:C40"/>
    <mergeCell ref="A47:D47"/>
    <mergeCell ref="B96:C96"/>
    <mergeCell ref="B114:D114"/>
    <mergeCell ref="A125:C125"/>
    <mergeCell ref="C15:E15"/>
    <mergeCell ref="C16:E16"/>
    <mergeCell ref="C17:E17"/>
    <mergeCell ref="A24:C24"/>
    <mergeCell ref="B38:D38"/>
    <mergeCell ref="C18:E18"/>
    <mergeCell ref="C19:E19"/>
    <mergeCell ref="C20:E20"/>
    <mergeCell ref="C21:E21"/>
    <mergeCell ref="B7:E7"/>
    <mergeCell ref="B8:E8"/>
    <mergeCell ref="B10:E10"/>
    <mergeCell ref="C12:E12"/>
    <mergeCell ref="C13:E13"/>
    <mergeCell ref="C14:E14"/>
    <mergeCell ref="B1:E1"/>
    <mergeCell ref="B2:E2"/>
    <mergeCell ref="B3:E3"/>
    <mergeCell ref="B4:E4"/>
    <mergeCell ref="B5:E5"/>
    <mergeCell ref="B6:E6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  <headerFooter>
    <oddFooter>&amp;L&amp;8ANEXO IV-A1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3"/>
  <sheetViews>
    <sheetView workbookViewId="0" topLeftCell="A40">
      <selection activeCell="B45" sqref="B45"/>
    </sheetView>
  </sheetViews>
  <sheetFormatPr defaultColWidth="11.421875" defaultRowHeight="12.75"/>
  <cols>
    <col min="1" max="1" width="5.140625" style="1" customWidth="1"/>
    <col min="2" max="2" width="57.57421875" style="1" customWidth="1"/>
    <col min="3" max="3" width="16.7109375" style="1" customWidth="1"/>
    <col min="4" max="4" width="13.7109375" style="1" bestFit="1" customWidth="1"/>
    <col min="5" max="5" width="7.00390625" style="1" customWidth="1"/>
    <col min="6" max="6" width="9.57421875" style="2" customWidth="1"/>
    <col min="7" max="7" width="11.421875" style="1" customWidth="1"/>
    <col min="8" max="8" width="46.00390625" style="1" customWidth="1"/>
    <col min="9" max="9" width="17.00390625" style="1" customWidth="1"/>
    <col min="10" max="10" width="14.28125" style="1" customWidth="1"/>
    <col min="11" max="16384" width="11.421875" style="1" customWidth="1"/>
  </cols>
  <sheetData>
    <row r="1" spans="2:5" ht="12.75">
      <c r="B1" s="151" t="s">
        <v>0</v>
      </c>
      <c r="C1" s="151"/>
      <c r="D1" s="151"/>
      <c r="E1" s="151"/>
    </row>
    <row r="2" spans="2:5" ht="12.75">
      <c r="B2" s="152" t="s">
        <v>1</v>
      </c>
      <c r="C2" s="152"/>
      <c r="D2" s="152"/>
      <c r="E2" s="152"/>
    </row>
    <row r="3" spans="2:5" ht="12.75">
      <c r="B3" s="152" t="s">
        <v>2</v>
      </c>
      <c r="C3" s="152"/>
      <c r="D3" s="152"/>
      <c r="E3" s="152"/>
    </row>
    <row r="4" spans="2:5" ht="12.75">
      <c r="B4" s="153" t="s">
        <v>168</v>
      </c>
      <c r="C4" s="153"/>
      <c r="D4" s="153"/>
      <c r="E4" s="153"/>
    </row>
    <row r="5" spans="2:5" ht="24" customHeight="1">
      <c r="B5" s="154" t="s">
        <v>3</v>
      </c>
      <c r="C5" s="154"/>
      <c r="D5" s="154"/>
      <c r="E5" s="154"/>
    </row>
    <row r="6" spans="2:5" ht="12.75">
      <c r="B6" s="155" t="s">
        <v>128</v>
      </c>
      <c r="C6" s="155"/>
      <c r="D6" s="155"/>
      <c r="E6" s="155"/>
    </row>
    <row r="7" spans="2:5" ht="12.75">
      <c r="B7" s="153" t="s">
        <v>127</v>
      </c>
      <c r="C7" s="153"/>
      <c r="D7" s="153"/>
      <c r="E7" s="153"/>
    </row>
    <row r="8" spans="2:5" ht="12.75">
      <c r="B8" s="156" t="s">
        <v>112</v>
      </c>
      <c r="C8" s="156"/>
      <c r="D8" s="156"/>
      <c r="E8" s="156"/>
    </row>
    <row r="10" spans="1:5" s="2" customFormat="1" ht="23.25" customHeight="1">
      <c r="A10" s="1"/>
      <c r="B10" s="157" t="s">
        <v>4</v>
      </c>
      <c r="C10" s="157"/>
      <c r="D10" s="157"/>
      <c r="E10" s="157"/>
    </row>
    <row r="11" spans="1:5" s="2" customFormat="1" ht="17.25" customHeight="1" thickBot="1">
      <c r="A11" s="1"/>
      <c r="B11" s="3" t="s">
        <v>5</v>
      </c>
      <c r="C11" s="4"/>
      <c r="D11" s="4"/>
      <c r="E11" s="4"/>
    </row>
    <row r="12" spans="1:5" s="2" customFormat="1" ht="31.5" customHeight="1">
      <c r="A12" s="1"/>
      <c r="B12" s="198" t="s">
        <v>6</v>
      </c>
      <c r="C12" s="199" t="s">
        <v>143</v>
      </c>
      <c r="D12" s="199"/>
      <c r="E12" s="200"/>
    </row>
    <row r="13" spans="1:5" s="2" customFormat="1" ht="15.75" customHeight="1">
      <c r="A13" s="1"/>
      <c r="B13" s="201" t="s">
        <v>7</v>
      </c>
      <c r="C13" s="158">
        <v>20.88</v>
      </c>
      <c r="D13" s="158"/>
      <c r="E13" s="202"/>
    </row>
    <row r="14" spans="1:5" s="2" customFormat="1" ht="15.75" customHeight="1">
      <c r="A14" s="1"/>
      <c r="B14" s="203" t="s">
        <v>8</v>
      </c>
      <c r="C14" s="159" t="s">
        <v>144</v>
      </c>
      <c r="D14" s="160"/>
      <c r="E14" s="204"/>
    </row>
    <row r="15" spans="1:5" s="2" customFormat="1" ht="15.75" customHeight="1">
      <c r="A15" s="1"/>
      <c r="B15" s="201" t="s">
        <v>9</v>
      </c>
      <c r="C15" s="161">
        <v>1838.01</v>
      </c>
      <c r="D15" s="161"/>
      <c r="E15" s="205"/>
    </row>
    <row r="16" spans="1:5" s="2" customFormat="1" ht="15.75" customHeight="1">
      <c r="A16" s="1"/>
      <c r="B16" s="206" t="s">
        <v>10</v>
      </c>
      <c r="C16" s="158" t="s">
        <v>129</v>
      </c>
      <c r="D16" s="158"/>
      <c r="E16" s="202"/>
    </row>
    <row r="17" spans="1:5" s="2" customFormat="1" ht="15.75" customHeight="1">
      <c r="A17" s="1"/>
      <c r="B17" s="207" t="s">
        <v>119</v>
      </c>
      <c r="C17" s="162">
        <v>19</v>
      </c>
      <c r="D17" s="163"/>
      <c r="E17" s="208"/>
    </row>
    <row r="18" spans="1:5" s="2" customFormat="1" ht="15.75" customHeight="1">
      <c r="A18" s="1"/>
      <c r="B18" s="209" t="s">
        <v>163</v>
      </c>
      <c r="C18" s="196"/>
      <c r="D18" s="196"/>
      <c r="E18" s="210"/>
    </row>
    <row r="19" spans="1:5" s="2" customFormat="1" ht="15.75" customHeight="1">
      <c r="A19" s="1"/>
      <c r="B19" s="209" t="s">
        <v>164</v>
      </c>
      <c r="C19" s="196"/>
      <c r="D19" s="196"/>
      <c r="E19" s="210"/>
    </row>
    <row r="20" spans="1:5" s="2" customFormat="1" ht="15.75" customHeight="1">
      <c r="A20" s="1"/>
      <c r="B20" s="209" t="s">
        <v>165</v>
      </c>
      <c r="C20" s="196"/>
      <c r="D20" s="196"/>
      <c r="E20" s="210"/>
    </row>
    <row r="21" spans="1:5" s="2" customFormat="1" ht="15.75" customHeight="1">
      <c r="A21" s="1"/>
      <c r="B21" s="209" t="s">
        <v>166</v>
      </c>
      <c r="C21" s="196"/>
      <c r="D21" s="196"/>
      <c r="E21" s="210"/>
    </row>
    <row r="22" spans="1:5" s="2" customFormat="1" ht="15.75" customHeight="1" thickBot="1">
      <c r="A22" s="1"/>
      <c r="B22" s="211" t="s">
        <v>167</v>
      </c>
      <c r="C22" s="212"/>
      <c r="D22" s="212"/>
      <c r="E22" s="213"/>
    </row>
    <row r="23" spans="1:5" s="2" customFormat="1" ht="15.75" customHeight="1">
      <c r="A23" s="1"/>
      <c r="B23" s="187"/>
      <c r="C23" s="188"/>
      <c r="D23" s="188"/>
      <c r="E23" s="188"/>
    </row>
    <row r="24" spans="1:3" s="2" customFormat="1" ht="15.75" customHeight="1">
      <c r="A24" s="1"/>
      <c r="B24" s="1"/>
      <c r="C24" s="10"/>
    </row>
    <row r="25" spans="1:2" s="2" customFormat="1" ht="12" customHeight="1" thickBot="1">
      <c r="A25" s="1"/>
      <c r="B25" s="1"/>
    </row>
    <row r="26" spans="1:3" s="2" customFormat="1" ht="15.75" customHeight="1">
      <c r="A26" s="165" t="s">
        <v>11</v>
      </c>
      <c r="B26" s="165"/>
      <c r="C26" s="165"/>
    </row>
    <row r="27" spans="1:3" s="2" customFormat="1" ht="15.75" customHeight="1">
      <c r="A27" s="32">
        <v>1</v>
      </c>
      <c r="B27" s="33" t="s">
        <v>12</v>
      </c>
      <c r="C27" s="34" t="s">
        <v>13</v>
      </c>
    </row>
    <row r="28" spans="1:3" s="2" customFormat="1" ht="15.75" customHeight="1">
      <c r="A28" s="35" t="s">
        <v>14</v>
      </c>
      <c r="B28" s="36" t="s">
        <v>15</v>
      </c>
      <c r="C28" s="37">
        <f>C15</f>
        <v>1838.01</v>
      </c>
    </row>
    <row r="29" spans="1:3" s="2" customFormat="1" ht="15.75" customHeight="1">
      <c r="A29" s="35" t="s">
        <v>16</v>
      </c>
      <c r="B29" s="36" t="s">
        <v>17</v>
      </c>
      <c r="C29" s="38"/>
    </row>
    <row r="30" spans="1:6" ht="15.75" customHeight="1">
      <c r="A30" s="35" t="s">
        <v>18</v>
      </c>
      <c r="B30" s="36" t="s">
        <v>19</v>
      </c>
      <c r="C30" s="38"/>
      <c r="D30" s="2"/>
      <c r="F30" s="1"/>
    </row>
    <row r="31" spans="1:6" ht="15.75" customHeight="1">
      <c r="A31" s="35" t="s">
        <v>20</v>
      </c>
      <c r="B31" s="39" t="s">
        <v>155</v>
      </c>
      <c r="C31" s="38">
        <f>C28/220*0.2*(1.1429*3)*C13</f>
        <v>119.62313130960001</v>
      </c>
      <c r="D31" s="2"/>
      <c r="F31" s="1"/>
    </row>
    <row r="32" spans="1:6" ht="15.75" customHeight="1">
      <c r="A32" s="35" t="s">
        <v>22</v>
      </c>
      <c r="B32" s="39" t="s">
        <v>101</v>
      </c>
      <c r="C32" s="38"/>
      <c r="D32" s="2"/>
      <c r="F32" s="1"/>
    </row>
    <row r="33" spans="1:6" ht="16.5" customHeight="1">
      <c r="A33" s="35" t="s">
        <v>23</v>
      </c>
      <c r="B33" s="39" t="s">
        <v>153</v>
      </c>
      <c r="C33" s="38">
        <f>((C28/220)+C28/220*0.5)*20</f>
        <v>250.63772727272726</v>
      </c>
      <c r="D33" s="2"/>
      <c r="F33" s="1"/>
    </row>
    <row r="34" spans="1:6" ht="15.75" customHeight="1">
      <c r="A34" s="35" t="s">
        <v>43</v>
      </c>
      <c r="B34" s="39" t="s">
        <v>154</v>
      </c>
      <c r="C34" s="38">
        <f>((C28/220)+C28/220*1)*20</f>
        <v>334.18363636363637</v>
      </c>
      <c r="D34" s="2"/>
      <c r="F34" s="1"/>
    </row>
    <row r="35" spans="1:6" ht="24">
      <c r="A35" s="35"/>
      <c r="B35" s="136" t="s">
        <v>147</v>
      </c>
      <c r="C35" s="38">
        <f>SUM(C28:C34)</f>
        <v>2542.4544949459637</v>
      </c>
      <c r="D35" s="2"/>
      <c r="F35" s="1"/>
    </row>
    <row r="36" spans="1:6" ht="15.75" customHeight="1">
      <c r="A36" s="35" t="s">
        <v>45</v>
      </c>
      <c r="B36" s="40" t="s">
        <v>148</v>
      </c>
      <c r="C36" s="41">
        <f>C31*20%</f>
        <v>23.924626261920004</v>
      </c>
      <c r="D36" s="2"/>
      <c r="F36" s="1"/>
    </row>
    <row r="37" spans="1:6" ht="15.75" customHeight="1">
      <c r="A37" s="127" t="s">
        <v>156</v>
      </c>
      <c r="B37" s="40" t="s">
        <v>158</v>
      </c>
      <c r="C37" s="141">
        <f>C33*0.2</f>
        <v>50.127545454545455</v>
      </c>
      <c r="D37" s="2"/>
      <c r="F37" s="1"/>
    </row>
    <row r="38" spans="1:6" ht="15.75" customHeight="1">
      <c r="A38" s="127" t="s">
        <v>157</v>
      </c>
      <c r="B38" s="40" t="s">
        <v>159</v>
      </c>
      <c r="C38" s="141">
        <f>C34*0.2</f>
        <v>66.83672727272727</v>
      </c>
      <c r="D38" s="30"/>
      <c r="F38" s="1"/>
    </row>
    <row r="39" spans="1:6" ht="15.75" customHeight="1" thickBot="1">
      <c r="A39" s="42"/>
      <c r="B39" s="43" t="s">
        <v>149</v>
      </c>
      <c r="C39" s="44">
        <f>C28+C31+C36+C33+C34+C37+C38</f>
        <v>2683.343393935156</v>
      </c>
      <c r="D39" s="2"/>
      <c r="F39" s="1"/>
    </row>
    <row r="40" spans="2:6" ht="15.75" customHeight="1" thickBot="1">
      <c r="B40" s="166"/>
      <c r="C40" s="166"/>
      <c r="D40" s="166"/>
      <c r="E40" s="2"/>
      <c r="F40" s="1"/>
    </row>
    <row r="41" spans="1:6" ht="15.75" customHeight="1">
      <c r="A41" s="5"/>
      <c r="B41" s="167" t="s">
        <v>25</v>
      </c>
      <c r="C41" s="167"/>
      <c r="D41" s="2"/>
      <c r="F41" s="1"/>
    </row>
    <row r="42" spans="1:6" ht="15.75" customHeight="1">
      <c r="A42" s="45"/>
      <c r="B42" s="169" t="s">
        <v>26</v>
      </c>
      <c r="C42" s="169"/>
      <c r="D42" s="2"/>
      <c r="F42" s="1"/>
    </row>
    <row r="43" spans="1:6" ht="15.75" customHeight="1">
      <c r="A43" s="32" t="s">
        <v>27</v>
      </c>
      <c r="B43" s="48" t="s">
        <v>28</v>
      </c>
      <c r="C43" s="34" t="s">
        <v>29</v>
      </c>
      <c r="D43" s="2"/>
      <c r="F43" s="1"/>
    </row>
    <row r="44" spans="1:6" ht="15.75" customHeight="1">
      <c r="A44" s="35" t="s">
        <v>14</v>
      </c>
      <c r="B44" s="46" t="s">
        <v>30</v>
      </c>
      <c r="C44" s="49">
        <f>C35*8.33%</f>
        <v>211.78645942899877</v>
      </c>
      <c r="D44" s="2"/>
      <c r="F44" s="1"/>
    </row>
    <row r="45" spans="1:6" ht="15.75" customHeight="1">
      <c r="A45" s="35" t="s">
        <v>16</v>
      </c>
      <c r="B45" s="46" t="s">
        <v>31</v>
      </c>
      <c r="C45" s="49">
        <f>C35*12.1%</f>
        <v>307.6369938884616</v>
      </c>
      <c r="D45" s="30"/>
      <c r="F45" s="1"/>
    </row>
    <row r="46" spans="1:6" ht="15.75" customHeight="1">
      <c r="A46" s="127"/>
      <c r="B46" s="130" t="s">
        <v>32</v>
      </c>
      <c r="C46" s="125">
        <f>SUM(C44:C45)</f>
        <v>519.4234533174604</v>
      </c>
      <c r="D46" s="30"/>
      <c r="F46" s="1"/>
    </row>
    <row r="47" spans="1:6" ht="34.5" thickBot="1">
      <c r="A47" s="137" t="s">
        <v>18</v>
      </c>
      <c r="B47" s="138" t="s">
        <v>118</v>
      </c>
      <c r="C47" s="139">
        <f>C39*7.82%</f>
        <v>209.83745340572924</v>
      </c>
      <c r="D47" s="30"/>
      <c r="F47" s="1"/>
    </row>
    <row r="48" spans="5:6" ht="15.75" customHeight="1" thickBot="1">
      <c r="E48" s="2"/>
      <c r="F48" s="1"/>
    </row>
    <row r="49" spans="1:6" ht="24.75" customHeight="1" thickBot="1">
      <c r="A49" s="170" t="s">
        <v>33</v>
      </c>
      <c r="B49" s="170"/>
      <c r="C49" s="170"/>
      <c r="D49" s="170"/>
      <c r="E49" s="2"/>
      <c r="F49" s="1"/>
    </row>
    <row r="50" spans="1:6" ht="13.5" customHeight="1" thickBot="1">
      <c r="A50" s="51" t="s">
        <v>34</v>
      </c>
      <c r="B50" s="52" t="s">
        <v>35</v>
      </c>
      <c r="C50" s="53" t="s">
        <v>36</v>
      </c>
      <c r="D50" s="54" t="s">
        <v>13</v>
      </c>
      <c r="E50" s="2"/>
      <c r="F50" s="1"/>
    </row>
    <row r="51" spans="1:6" ht="14.25" customHeight="1">
      <c r="A51" s="55" t="s">
        <v>14</v>
      </c>
      <c r="B51" s="56" t="s">
        <v>37</v>
      </c>
      <c r="C51" s="57">
        <v>20</v>
      </c>
      <c r="D51" s="58">
        <f>(C39*(C51/100))</f>
        <v>536.6686787870312</v>
      </c>
      <c r="E51" s="2"/>
      <c r="F51" s="1"/>
    </row>
    <row r="52" spans="1:6" ht="14.25" customHeight="1">
      <c r="A52" s="55" t="s">
        <v>16</v>
      </c>
      <c r="B52" s="59" t="s">
        <v>38</v>
      </c>
      <c r="C52" s="60">
        <v>2.5</v>
      </c>
      <c r="D52" s="61">
        <f>(C39*(C52/100))</f>
        <v>67.0835848483789</v>
      </c>
      <c r="E52" s="2"/>
      <c r="F52" s="1"/>
    </row>
    <row r="53" spans="1:6" ht="14.25" customHeight="1">
      <c r="A53" s="55" t="s">
        <v>18</v>
      </c>
      <c r="B53" s="62" t="s">
        <v>39</v>
      </c>
      <c r="C53" s="63">
        <v>6</v>
      </c>
      <c r="D53" s="49">
        <f aca="true" t="shared" si="0" ref="D53:D58">($C$39*(C53/100))</f>
        <v>161.00060363610936</v>
      </c>
      <c r="E53" s="2"/>
      <c r="F53" s="1"/>
    </row>
    <row r="54" spans="1:6" ht="14.25" customHeight="1">
      <c r="A54" s="55" t="s">
        <v>20</v>
      </c>
      <c r="B54" s="59" t="s">
        <v>40</v>
      </c>
      <c r="C54" s="60">
        <v>1.5</v>
      </c>
      <c r="D54" s="61">
        <f t="shared" si="0"/>
        <v>40.25015090902734</v>
      </c>
      <c r="E54" s="2"/>
      <c r="F54" s="1"/>
    </row>
    <row r="55" spans="1:6" ht="14.25" customHeight="1">
      <c r="A55" s="55" t="s">
        <v>22</v>
      </c>
      <c r="B55" s="59" t="s">
        <v>41</v>
      </c>
      <c r="C55" s="60">
        <v>1</v>
      </c>
      <c r="D55" s="61">
        <f t="shared" si="0"/>
        <v>26.83343393935156</v>
      </c>
      <c r="E55" s="2"/>
      <c r="F55" s="1"/>
    </row>
    <row r="56" spans="1:6" ht="14.25" customHeight="1">
      <c r="A56" s="55" t="s">
        <v>23</v>
      </c>
      <c r="B56" s="59" t="s">
        <v>42</v>
      </c>
      <c r="C56" s="60">
        <v>0.6000000000000001</v>
      </c>
      <c r="D56" s="61">
        <f t="shared" si="0"/>
        <v>16.10006036361094</v>
      </c>
      <c r="E56" s="2"/>
      <c r="F56" s="1"/>
    </row>
    <row r="57" spans="1:6" ht="14.25" customHeight="1">
      <c r="A57" s="55" t="s">
        <v>43</v>
      </c>
      <c r="B57" s="59" t="s">
        <v>44</v>
      </c>
      <c r="C57" s="60">
        <v>0.2</v>
      </c>
      <c r="D57" s="61">
        <f t="shared" si="0"/>
        <v>5.366686787870313</v>
      </c>
      <c r="E57" s="2"/>
      <c r="F57" s="1"/>
    </row>
    <row r="58" spans="1:6" ht="14.25" customHeight="1">
      <c r="A58" s="55" t="s">
        <v>45</v>
      </c>
      <c r="B58" s="62" t="s">
        <v>46</v>
      </c>
      <c r="C58" s="63">
        <v>8</v>
      </c>
      <c r="D58" s="49">
        <f t="shared" si="0"/>
        <v>214.6674715148125</v>
      </c>
      <c r="E58" s="2"/>
      <c r="F58" s="1"/>
    </row>
    <row r="59" spans="1:6" ht="14.25" customHeight="1" thickBot="1">
      <c r="A59" s="64"/>
      <c r="B59" s="65" t="s">
        <v>47</v>
      </c>
      <c r="C59" s="66">
        <f>SUM(C51:C58)</f>
        <v>39.8</v>
      </c>
      <c r="D59" s="67">
        <f>SUM(D51:D58)</f>
        <v>1067.9706707861922</v>
      </c>
      <c r="E59" s="2"/>
      <c r="F59" s="1"/>
    </row>
    <row r="60" spans="1:6" ht="14.25" customHeight="1">
      <c r="A60" s="68"/>
      <c r="B60" s="69" t="s">
        <v>48</v>
      </c>
      <c r="C60" s="68"/>
      <c r="D60" s="68"/>
      <c r="E60" s="2"/>
      <c r="F60" s="1"/>
    </row>
    <row r="61" spans="1:6" ht="14.25" customHeight="1" thickBot="1">
      <c r="A61" s="68"/>
      <c r="B61" s="69"/>
      <c r="C61" s="68"/>
      <c r="D61" s="68"/>
      <c r="E61" s="2"/>
      <c r="F61" s="1"/>
    </row>
    <row r="62" spans="1:6" ht="14.25" customHeight="1">
      <c r="A62" s="70"/>
      <c r="B62" s="71" t="s">
        <v>49</v>
      </c>
      <c r="C62" s="72"/>
      <c r="D62" s="2"/>
      <c r="F62" s="1"/>
    </row>
    <row r="63" spans="1:6" ht="14.25" customHeight="1">
      <c r="A63" s="32" t="s">
        <v>50</v>
      </c>
      <c r="B63" s="33" t="s">
        <v>51</v>
      </c>
      <c r="C63" s="34" t="s">
        <v>13</v>
      </c>
      <c r="D63" s="2"/>
      <c r="F63" s="1"/>
    </row>
    <row r="64" spans="1:6" ht="14.25" customHeight="1">
      <c r="A64" s="35" t="s">
        <v>14</v>
      </c>
      <c r="B64" s="73" t="s">
        <v>52</v>
      </c>
      <c r="C64" s="38">
        <f>(4.05*2*C13)</f>
        <v>169.128</v>
      </c>
      <c r="D64" s="2"/>
      <c r="F64" s="1"/>
    </row>
    <row r="65" spans="1:6" ht="14.25" customHeight="1">
      <c r="A65" s="35" t="s">
        <v>16</v>
      </c>
      <c r="B65" s="36" t="s">
        <v>150</v>
      </c>
      <c r="C65" s="38">
        <f>260-(260*0.2)</f>
        <v>208</v>
      </c>
      <c r="D65" s="2"/>
      <c r="F65" s="1"/>
    </row>
    <row r="66" spans="1:6" ht="14.25" customHeight="1">
      <c r="A66" s="35" t="s">
        <v>18</v>
      </c>
      <c r="B66" s="36" t="s">
        <v>151</v>
      </c>
      <c r="C66" s="38">
        <v>0</v>
      </c>
      <c r="D66" s="2"/>
      <c r="F66" s="1"/>
    </row>
    <row r="67" spans="1:6" ht="14.25" customHeight="1">
      <c r="A67" s="35" t="s">
        <v>20</v>
      </c>
      <c r="B67" s="36" t="s">
        <v>113</v>
      </c>
      <c r="C67" s="38">
        <v>0</v>
      </c>
      <c r="D67" s="2"/>
      <c r="F67" s="1"/>
    </row>
    <row r="68" spans="1:6" ht="14.25" customHeight="1" thickBot="1">
      <c r="A68" s="42"/>
      <c r="B68" s="43" t="s">
        <v>53</v>
      </c>
      <c r="C68" s="44">
        <f>SUM(C64:C67)</f>
        <v>377.128</v>
      </c>
      <c r="D68" s="2"/>
      <c r="F68" s="1"/>
    </row>
    <row r="69" spans="1:6" ht="14.25" customHeight="1" thickBot="1">
      <c r="A69" s="68"/>
      <c r="B69" s="74"/>
      <c r="C69" s="75"/>
      <c r="D69" s="11"/>
      <c r="E69" s="2"/>
      <c r="F69" s="1"/>
    </row>
    <row r="70" spans="1:6" ht="14.25" customHeight="1">
      <c r="A70" s="70"/>
      <c r="B70" s="76" t="s">
        <v>54</v>
      </c>
      <c r="C70" s="77"/>
      <c r="D70" s="2"/>
      <c r="F70" s="1"/>
    </row>
    <row r="71" spans="1:6" ht="14.25" customHeight="1">
      <c r="A71" s="35">
        <v>2</v>
      </c>
      <c r="B71" s="78" t="s">
        <v>55</v>
      </c>
      <c r="C71" s="79" t="s">
        <v>29</v>
      </c>
      <c r="D71" s="2"/>
      <c r="F71" s="1"/>
    </row>
    <row r="72" spans="1:6" ht="14.25" customHeight="1">
      <c r="A72" s="35" t="s">
        <v>27</v>
      </c>
      <c r="B72" s="36" t="s">
        <v>28</v>
      </c>
      <c r="C72" s="37">
        <f>C46</f>
        <v>519.4234533174604</v>
      </c>
      <c r="D72" s="2"/>
      <c r="F72" s="1"/>
    </row>
    <row r="73" spans="1:6" ht="14.25" customHeight="1">
      <c r="A73" s="35" t="s">
        <v>34</v>
      </c>
      <c r="B73" s="36" t="s">
        <v>35</v>
      </c>
      <c r="C73" s="37">
        <f>D59+C47</f>
        <v>1277.8081241919215</v>
      </c>
      <c r="D73" s="2"/>
      <c r="F73" s="1"/>
    </row>
    <row r="74" spans="1:6" ht="14.25" customHeight="1">
      <c r="A74" s="35" t="s">
        <v>50</v>
      </c>
      <c r="B74" s="36" t="s">
        <v>51</v>
      </c>
      <c r="C74" s="37">
        <f>C68</f>
        <v>377.128</v>
      </c>
      <c r="D74" s="2"/>
      <c r="F74" s="1"/>
    </row>
    <row r="75" spans="1:6" ht="14.25" customHeight="1" thickBot="1">
      <c r="A75" s="42"/>
      <c r="B75" s="80" t="s">
        <v>32</v>
      </c>
      <c r="C75" s="81">
        <f>SUM(C72:C74)</f>
        <v>2174.359577509382</v>
      </c>
      <c r="D75" s="2"/>
      <c r="F75" s="1"/>
    </row>
    <row r="76" spans="2:6" ht="14.25" customHeight="1" thickBot="1">
      <c r="B76" s="13"/>
      <c r="C76" s="11"/>
      <c r="D76" s="11"/>
      <c r="E76" s="2"/>
      <c r="F76" s="1"/>
    </row>
    <row r="77" spans="1:6" ht="14.25" customHeight="1">
      <c r="A77" s="83"/>
      <c r="B77" s="84" t="s">
        <v>117</v>
      </c>
      <c r="C77" s="85"/>
      <c r="D77" s="2"/>
      <c r="F77" s="1"/>
    </row>
    <row r="78" spans="1:6" ht="14.25" customHeight="1">
      <c r="A78" s="86">
        <v>3</v>
      </c>
      <c r="B78" s="87" t="s">
        <v>56</v>
      </c>
      <c r="C78" s="88" t="s">
        <v>13</v>
      </c>
      <c r="D78" s="2"/>
      <c r="F78" s="1"/>
    </row>
    <row r="79" spans="1:6" ht="14.25" customHeight="1">
      <c r="A79" s="89" t="s">
        <v>14</v>
      </c>
      <c r="B79" s="90" t="s">
        <v>57</v>
      </c>
      <c r="C79" s="91">
        <f>((C35+C44+C45)/12)*5%</f>
        <v>12.757824784430932</v>
      </c>
      <c r="D79" s="2"/>
      <c r="F79" s="1"/>
    </row>
    <row r="80" spans="1:6" ht="14.25" customHeight="1">
      <c r="A80" s="89" t="s">
        <v>16</v>
      </c>
      <c r="B80" s="90" t="s">
        <v>58</v>
      </c>
      <c r="C80" s="91">
        <f>((C35+C44)/12)*5%*8%</f>
        <v>0.9180803181249876</v>
      </c>
      <c r="D80" s="2"/>
      <c r="F80" s="1"/>
    </row>
    <row r="81" spans="1:6" ht="14.25" customHeight="1">
      <c r="A81" s="89" t="s">
        <v>18</v>
      </c>
      <c r="B81" s="90" t="s">
        <v>59</v>
      </c>
      <c r="C81" s="91">
        <v>0</v>
      </c>
      <c r="D81" s="2"/>
      <c r="F81" s="1"/>
    </row>
    <row r="82" spans="1:6" ht="14.25" customHeight="1">
      <c r="A82" s="89" t="s">
        <v>20</v>
      </c>
      <c r="B82" s="90" t="s">
        <v>60</v>
      </c>
      <c r="C82" s="91">
        <f>((C35+C66)/30/12*7)</f>
        <v>49.43661517950485</v>
      </c>
      <c r="D82" s="2"/>
      <c r="F82" s="1"/>
    </row>
    <row r="83" spans="1:6" ht="22.5">
      <c r="A83" s="89" t="s">
        <v>22</v>
      </c>
      <c r="B83" s="90" t="s">
        <v>61</v>
      </c>
      <c r="C83" s="92">
        <f>(C35/30/12*7)*8%</f>
        <v>3.954929214360388</v>
      </c>
      <c r="D83" s="2"/>
      <c r="F83" s="1"/>
    </row>
    <row r="84" spans="1:6" ht="14.25" customHeight="1">
      <c r="A84" s="89" t="s">
        <v>23</v>
      </c>
      <c r="B84" s="90" t="s">
        <v>62</v>
      </c>
      <c r="C84" s="91">
        <f>C35*4%</f>
        <v>101.69817979783855</v>
      </c>
      <c r="D84" s="2"/>
      <c r="F84" s="1"/>
    </row>
    <row r="85" spans="1:6" ht="14.25" customHeight="1">
      <c r="A85" s="93"/>
      <c r="B85" s="87" t="s">
        <v>47</v>
      </c>
      <c r="C85" s="94">
        <f>SUM(C79:C84)</f>
        <v>168.76562929425972</v>
      </c>
      <c r="D85" s="2"/>
      <c r="F85" s="1"/>
    </row>
    <row r="86" spans="5:6" ht="14.25" customHeight="1" thickBot="1">
      <c r="E86" s="2"/>
      <c r="F86" s="1"/>
    </row>
    <row r="87" spans="1:6" ht="14.25" customHeight="1">
      <c r="A87" s="5"/>
      <c r="B87" s="82" t="s">
        <v>116</v>
      </c>
      <c r="C87" s="14"/>
      <c r="D87" s="31"/>
      <c r="F87" s="1"/>
    </row>
    <row r="88" spans="1:6" ht="14.25" customHeight="1">
      <c r="A88" s="45"/>
      <c r="B88" s="78" t="s">
        <v>64</v>
      </c>
      <c r="C88" s="34"/>
      <c r="D88" s="2"/>
      <c r="F88" s="1"/>
    </row>
    <row r="89" spans="1:6" ht="14.25" customHeight="1">
      <c r="A89" s="32" t="s">
        <v>65</v>
      </c>
      <c r="B89" s="95" t="s">
        <v>66</v>
      </c>
      <c r="C89" s="96" t="s">
        <v>13</v>
      </c>
      <c r="D89" s="2"/>
      <c r="F89" s="1"/>
    </row>
    <row r="90" spans="1:6" ht="14.25" customHeight="1">
      <c r="A90" s="35" t="s">
        <v>14</v>
      </c>
      <c r="B90" s="97" t="s">
        <v>67</v>
      </c>
      <c r="C90" s="98">
        <v>0</v>
      </c>
      <c r="D90" s="2"/>
      <c r="F90" s="1"/>
    </row>
    <row r="91" spans="1:6" ht="14.25" customHeight="1">
      <c r="A91" s="35" t="s">
        <v>16</v>
      </c>
      <c r="B91" s="97" t="s">
        <v>109</v>
      </c>
      <c r="C91" s="98">
        <f>(((C35+C75+C85+C94+C114)-(C64-C65-C112-C113))/30*2.96)/12</f>
        <v>40.960171437008796</v>
      </c>
      <c r="D91" s="2"/>
      <c r="F91" s="1"/>
    </row>
    <row r="92" spans="1:6" ht="14.25" customHeight="1">
      <c r="A92" s="35" t="s">
        <v>18</v>
      </c>
      <c r="B92" s="97" t="s">
        <v>110</v>
      </c>
      <c r="C92" s="98">
        <f>(((C35+C75+C85+C94+C114)-(C64-C65-C112-C113))/30*5*1.5%)/12</f>
        <v>1.037842181680966</v>
      </c>
      <c r="D92" s="2"/>
      <c r="F92" s="1"/>
    </row>
    <row r="93" spans="1:6" ht="14.25" customHeight="1">
      <c r="A93" s="35" t="s">
        <v>20</v>
      </c>
      <c r="B93" s="97" t="s">
        <v>111</v>
      </c>
      <c r="C93" s="98">
        <f>(((C35+C75+C85+C94+C114)-(C64-C65-C112-C113))/30*15*0.78%)/12</f>
        <v>1.6190338034223073</v>
      </c>
      <c r="D93" s="2"/>
      <c r="F93" s="1"/>
    </row>
    <row r="94" spans="1:6" ht="14.25" customHeight="1">
      <c r="A94" s="35" t="s">
        <v>22</v>
      </c>
      <c r="B94" s="97" t="s">
        <v>114</v>
      </c>
      <c r="C94" s="98">
        <f>(((C45*3.95/12)+(C66*3.95*0.0865%))/12+((C35+C44)*39.8%*3.95)*0.0865%/12)</f>
        <v>8.750770319033428</v>
      </c>
      <c r="D94" s="30"/>
      <c r="F94" s="1"/>
    </row>
    <row r="95" spans="1:6" ht="14.25" customHeight="1">
      <c r="A95" s="35" t="s">
        <v>23</v>
      </c>
      <c r="B95" s="99" t="s">
        <v>68</v>
      </c>
      <c r="C95" s="98">
        <v>0</v>
      </c>
      <c r="D95" s="2"/>
      <c r="F95" s="1"/>
    </row>
    <row r="96" spans="1:6" ht="14.25" customHeight="1" thickBot="1">
      <c r="A96" s="42"/>
      <c r="B96" s="100" t="s">
        <v>47</v>
      </c>
      <c r="C96" s="50">
        <f>SUM(C90:C95)</f>
        <v>52.367817741145494</v>
      </c>
      <c r="D96" s="2"/>
      <c r="F96" s="1"/>
    </row>
    <row r="97" spans="1:6" ht="14.25" customHeight="1" thickBot="1">
      <c r="A97" s="68"/>
      <c r="B97" s="68"/>
      <c r="C97" s="68"/>
      <c r="E97" s="2"/>
      <c r="F97" s="1"/>
    </row>
    <row r="98" spans="1:6" ht="14.25" customHeight="1">
      <c r="A98" s="101"/>
      <c r="B98" s="171" t="s">
        <v>69</v>
      </c>
      <c r="C98" s="171"/>
      <c r="D98" s="2"/>
      <c r="F98" s="1"/>
    </row>
    <row r="99" spans="1:6" ht="14.25" customHeight="1">
      <c r="A99" s="32" t="s">
        <v>70</v>
      </c>
      <c r="B99" s="95" t="s">
        <v>71</v>
      </c>
      <c r="C99" s="96" t="s">
        <v>13</v>
      </c>
      <c r="D99" s="2"/>
      <c r="F99" s="1"/>
    </row>
    <row r="100" spans="1:6" ht="14.25" customHeight="1">
      <c r="A100" s="35" t="s">
        <v>14</v>
      </c>
      <c r="B100" s="102" t="s">
        <v>72</v>
      </c>
      <c r="C100" s="124">
        <v>0</v>
      </c>
      <c r="D100" s="2"/>
      <c r="F100" s="1"/>
    </row>
    <row r="101" spans="1:6" ht="14.25" customHeight="1" thickBot="1">
      <c r="A101" s="47"/>
      <c r="B101" s="100" t="s">
        <v>47</v>
      </c>
      <c r="C101" s="103"/>
      <c r="D101" s="15"/>
      <c r="F101" s="1"/>
    </row>
    <row r="102" spans="1:6" ht="14.25" customHeight="1" thickBot="1">
      <c r="A102" s="68"/>
      <c r="B102" s="68"/>
      <c r="C102" s="68"/>
      <c r="E102" s="2"/>
      <c r="F102" s="1"/>
    </row>
    <row r="103" spans="1:6" ht="14.25" customHeight="1">
      <c r="A103" s="70"/>
      <c r="B103" s="76" t="s">
        <v>73</v>
      </c>
      <c r="C103" s="77"/>
      <c r="D103" s="2"/>
      <c r="F103" s="1"/>
    </row>
    <row r="104" spans="1:6" ht="14.25" customHeight="1">
      <c r="A104" s="32">
        <v>4</v>
      </c>
      <c r="B104" s="78" t="s">
        <v>74</v>
      </c>
      <c r="C104" s="79" t="s">
        <v>29</v>
      </c>
      <c r="D104" s="2"/>
      <c r="F104" s="1"/>
    </row>
    <row r="105" spans="1:4" s="17" customFormat="1" ht="15" customHeight="1">
      <c r="A105" s="35" t="s">
        <v>65</v>
      </c>
      <c r="B105" s="36" t="s">
        <v>66</v>
      </c>
      <c r="C105" s="37">
        <f>C96</f>
        <v>52.367817741145494</v>
      </c>
      <c r="D105" s="16"/>
    </row>
    <row r="106" spans="1:6" ht="15" customHeight="1">
      <c r="A106" s="35" t="s">
        <v>70</v>
      </c>
      <c r="B106" s="36" t="s">
        <v>71</v>
      </c>
      <c r="C106" s="37">
        <f>C101</f>
        <v>0</v>
      </c>
      <c r="D106" s="2"/>
      <c r="F106" s="1"/>
    </row>
    <row r="107" spans="1:6" ht="15" customHeight="1" thickBot="1">
      <c r="A107" s="42"/>
      <c r="B107" s="80" t="s">
        <v>32</v>
      </c>
      <c r="C107" s="44">
        <f>SUM(C105:C106)</f>
        <v>52.367817741145494</v>
      </c>
      <c r="D107" s="2"/>
      <c r="F107" s="1"/>
    </row>
    <row r="108" ht="15" customHeight="1" thickBot="1">
      <c r="F108" s="1"/>
    </row>
    <row r="109" spans="1:6" ht="15" customHeight="1">
      <c r="A109" s="18"/>
      <c r="B109" s="82" t="s">
        <v>75</v>
      </c>
      <c r="C109" s="12"/>
      <c r="F109" s="1"/>
    </row>
    <row r="110" spans="1:6" ht="15" customHeight="1">
      <c r="A110" s="104">
        <v>5</v>
      </c>
      <c r="B110" s="105" t="s">
        <v>76</v>
      </c>
      <c r="C110" s="34" t="s">
        <v>13</v>
      </c>
      <c r="F110" s="1"/>
    </row>
    <row r="111" spans="1:6" ht="15" customHeight="1">
      <c r="A111" s="106" t="s">
        <v>14</v>
      </c>
      <c r="B111" s="107" t="s">
        <v>77</v>
      </c>
      <c r="C111" s="140">
        <v>41.86</v>
      </c>
      <c r="F111" s="1"/>
    </row>
    <row r="112" spans="1:6" ht="15" customHeight="1">
      <c r="A112" s="106" t="s">
        <v>16</v>
      </c>
      <c r="B112" s="107" t="s">
        <v>152</v>
      </c>
      <c r="C112" s="134">
        <v>0</v>
      </c>
      <c r="F112" s="1"/>
    </row>
    <row r="113" spans="1:6" ht="15" customHeight="1">
      <c r="A113" s="106" t="s">
        <v>18</v>
      </c>
      <c r="B113" s="107" t="s">
        <v>78</v>
      </c>
      <c r="C113" s="134">
        <v>3.29</v>
      </c>
      <c r="F113" s="1"/>
    </row>
    <row r="114" spans="1:6" ht="15" customHeight="1" thickBot="1">
      <c r="A114" s="108"/>
      <c r="B114" s="109" t="s">
        <v>79</v>
      </c>
      <c r="C114" s="110">
        <f>SUM(C111:C113)</f>
        <v>45.15</v>
      </c>
      <c r="F114" s="1"/>
    </row>
    <row r="115" spans="1:6" ht="15" customHeight="1" thickBot="1">
      <c r="A115" s="19"/>
      <c r="B115" s="20"/>
      <c r="C115" s="21"/>
      <c r="D115" s="21"/>
      <c r="F115" s="1"/>
    </row>
    <row r="116" spans="1:6" ht="15" customHeight="1">
      <c r="A116" s="22"/>
      <c r="B116" s="167" t="s">
        <v>80</v>
      </c>
      <c r="C116" s="167"/>
      <c r="D116" s="167"/>
      <c r="F116" s="1"/>
    </row>
    <row r="117" spans="1:6" ht="15" customHeight="1">
      <c r="A117" s="104">
        <v>6</v>
      </c>
      <c r="B117" s="95" t="s">
        <v>82</v>
      </c>
      <c r="C117" s="111" t="s">
        <v>36</v>
      </c>
      <c r="D117" s="96" t="s">
        <v>13</v>
      </c>
      <c r="F117" s="1"/>
    </row>
    <row r="118" spans="1:6" ht="15" customHeight="1">
      <c r="A118" s="106" t="s">
        <v>14</v>
      </c>
      <c r="B118" s="112" t="s">
        <v>83</v>
      </c>
      <c r="C118" s="113">
        <v>7.01</v>
      </c>
      <c r="D118" s="49">
        <f>(C135)*C118/100</f>
        <v>359.19144793544393</v>
      </c>
      <c r="F118" s="1"/>
    </row>
    <row r="119" spans="1:6" ht="15" customHeight="1">
      <c r="A119" s="106" t="s">
        <v>16</v>
      </c>
      <c r="B119" s="112" t="s">
        <v>84</v>
      </c>
      <c r="C119" s="113">
        <v>5.18</v>
      </c>
      <c r="D119" s="49">
        <f>(C135+D118)*C119/100</f>
        <v>284.028613480317</v>
      </c>
      <c r="F119" s="1"/>
    </row>
    <row r="120" spans="1:6" ht="15" customHeight="1">
      <c r="A120" s="106" t="s">
        <v>18</v>
      </c>
      <c r="B120" s="112" t="s">
        <v>85</v>
      </c>
      <c r="C120" s="113"/>
      <c r="D120" s="49"/>
      <c r="F120" s="1"/>
    </row>
    <row r="121" spans="1:6" ht="15" customHeight="1">
      <c r="A121" s="106"/>
      <c r="B121" s="112" t="s">
        <v>86</v>
      </c>
      <c r="C121" s="113">
        <f>3+0.65</f>
        <v>3.65</v>
      </c>
      <c r="D121" s="49">
        <f>((C135+D118+D119)/(1-(C121+C123)/100))*C121/100</f>
        <v>230.43572689238445</v>
      </c>
      <c r="F121" s="1"/>
    </row>
    <row r="122" spans="1:6" ht="15" customHeight="1">
      <c r="A122" s="106"/>
      <c r="B122" s="112" t="s">
        <v>87</v>
      </c>
      <c r="C122" s="113"/>
      <c r="D122" s="49"/>
      <c r="F122" s="1"/>
    </row>
    <row r="123" spans="1:6" ht="15" customHeight="1">
      <c r="A123" s="106"/>
      <c r="B123" s="112" t="s">
        <v>88</v>
      </c>
      <c r="C123" s="114">
        <v>5</v>
      </c>
      <c r="D123" s="49">
        <f>((C135+D118+D119)/(1-(C121+C123)/100))*C123/100</f>
        <v>315.66537930463625</v>
      </c>
      <c r="F123" s="1"/>
    </row>
    <row r="124" spans="1:6" ht="15" customHeight="1">
      <c r="A124" s="106"/>
      <c r="B124" s="112" t="s">
        <v>89</v>
      </c>
      <c r="C124" s="113"/>
      <c r="D124" s="49"/>
      <c r="F124" s="1"/>
    </row>
    <row r="125" spans="1:6" ht="15" customHeight="1" thickBot="1">
      <c r="A125" s="115"/>
      <c r="B125" s="100" t="s">
        <v>47</v>
      </c>
      <c r="C125" s="116">
        <f>SUM(C118:C124)</f>
        <v>20.84</v>
      </c>
      <c r="D125" s="50">
        <f>SUM(D118:D124)</f>
        <v>1189.3211676127817</v>
      </c>
      <c r="F125" s="1"/>
    </row>
    <row r="126" spans="1:6" ht="15" customHeight="1">
      <c r="A126" s="19"/>
      <c r="B126" s="20"/>
      <c r="C126" s="21"/>
      <c r="D126" s="21"/>
      <c r="F126" s="1"/>
    </row>
    <row r="127" spans="1:4" s="17" customFormat="1" ht="15" customHeight="1">
      <c r="A127" s="172" t="s">
        <v>90</v>
      </c>
      <c r="B127" s="172"/>
      <c r="C127" s="172"/>
      <c r="D127" s="23"/>
    </row>
    <row r="128" spans="1:4" s="17" customFormat="1" ht="15" customHeight="1" thickBot="1">
      <c r="A128" s="1"/>
      <c r="B128" s="23"/>
      <c r="C128" s="1"/>
      <c r="D128" s="1"/>
    </row>
    <row r="129" spans="1:3" s="17" customFormat="1" ht="12.75">
      <c r="A129" s="70"/>
      <c r="B129" s="117" t="s">
        <v>91</v>
      </c>
      <c r="C129" s="118" t="s">
        <v>13</v>
      </c>
    </row>
    <row r="130" spans="1:3" s="17" customFormat="1" ht="15" customHeight="1">
      <c r="A130" s="45" t="s">
        <v>14</v>
      </c>
      <c r="B130" s="112" t="s">
        <v>92</v>
      </c>
      <c r="C130" s="49">
        <f>C39</f>
        <v>2683.343393935156</v>
      </c>
    </row>
    <row r="131" spans="1:3" s="17" customFormat="1" ht="15" customHeight="1">
      <c r="A131" s="45" t="s">
        <v>16</v>
      </c>
      <c r="B131" s="112" t="s">
        <v>93</v>
      </c>
      <c r="C131" s="49">
        <f>C75</f>
        <v>2174.359577509382</v>
      </c>
    </row>
    <row r="132" spans="1:3" s="17" customFormat="1" ht="15" customHeight="1">
      <c r="A132" s="45" t="s">
        <v>18</v>
      </c>
      <c r="B132" s="112" t="s">
        <v>94</v>
      </c>
      <c r="C132" s="49">
        <f>C85</f>
        <v>168.76562929425972</v>
      </c>
    </row>
    <row r="133" spans="1:3" s="17" customFormat="1" ht="15" customHeight="1">
      <c r="A133" s="45" t="s">
        <v>20</v>
      </c>
      <c r="B133" s="112" t="s">
        <v>63</v>
      </c>
      <c r="C133" s="49">
        <f>C107</f>
        <v>52.367817741145494</v>
      </c>
    </row>
    <row r="134" spans="1:3" s="17" customFormat="1" ht="15" customHeight="1">
      <c r="A134" s="45" t="s">
        <v>22</v>
      </c>
      <c r="B134" s="112" t="s">
        <v>95</v>
      </c>
      <c r="C134" s="49">
        <f>C114</f>
        <v>45.15</v>
      </c>
    </row>
    <row r="135" spans="1:3" s="17" customFormat="1" ht="15" customHeight="1">
      <c r="A135" s="45"/>
      <c r="B135" s="111" t="s">
        <v>96</v>
      </c>
      <c r="C135" s="119">
        <f>SUM(C130:C134)</f>
        <v>5123.986418479943</v>
      </c>
    </row>
    <row r="136" spans="1:3" s="17" customFormat="1" ht="15" customHeight="1">
      <c r="A136" s="45" t="s">
        <v>23</v>
      </c>
      <c r="B136" s="112" t="s">
        <v>97</v>
      </c>
      <c r="C136" s="49">
        <f>D125</f>
        <v>1189.3211676127817</v>
      </c>
    </row>
    <row r="137" spans="1:3" s="17" customFormat="1" ht="12.75">
      <c r="A137" s="45"/>
      <c r="B137" s="95" t="s">
        <v>98</v>
      </c>
      <c r="C137" s="119">
        <f>SUM(C135:C136)</f>
        <v>6313.307586092724</v>
      </c>
    </row>
    <row r="138" spans="1:3" s="17" customFormat="1" ht="15" customHeight="1" thickBot="1">
      <c r="A138" s="42"/>
      <c r="B138" s="120" t="s">
        <v>99</v>
      </c>
      <c r="C138" s="121">
        <f>C137/C39</f>
        <v>2.352776614562991</v>
      </c>
    </row>
    <row r="139" spans="1:5" s="17" customFormat="1" ht="15" customHeight="1">
      <c r="A139" s="1"/>
      <c r="B139" s="23"/>
      <c r="C139" s="1"/>
      <c r="D139" s="1"/>
      <c r="E139" s="1"/>
    </row>
    <row r="140" ht="13.5" thickBot="1"/>
    <row r="141" spans="1:4" ht="12.75">
      <c r="A141" s="22"/>
      <c r="B141" s="167" t="s">
        <v>81</v>
      </c>
      <c r="C141" s="167"/>
      <c r="D141" s="167"/>
    </row>
    <row r="142" spans="1:4" ht="12.75">
      <c r="A142" s="104">
        <v>6</v>
      </c>
      <c r="B142" s="95" t="s">
        <v>82</v>
      </c>
      <c r="C142" s="111" t="s">
        <v>36</v>
      </c>
      <c r="D142" s="96" t="s">
        <v>13</v>
      </c>
    </row>
    <row r="143" spans="1:4" ht="12.75">
      <c r="A143" s="106" t="s">
        <v>14</v>
      </c>
      <c r="B143" s="112" t="s">
        <v>83</v>
      </c>
      <c r="C143" s="113">
        <v>5.09</v>
      </c>
      <c r="D143" s="49">
        <f>(C160)*C143/100</f>
        <v>260.81090870062906</v>
      </c>
    </row>
    <row r="144" spans="1:4" ht="12.75">
      <c r="A144" s="106" t="s">
        <v>16</v>
      </c>
      <c r="B144" s="112" t="s">
        <v>84</v>
      </c>
      <c r="C144" s="113">
        <v>6.33</v>
      </c>
      <c r="D144" s="49">
        <f>(C160+D143)*C144/100</f>
        <v>340.8576708105302</v>
      </c>
    </row>
    <row r="145" spans="1:4" ht="12.75">
      <c r="A145" s="106" t="s">
        <v>18</v>
      </c>
      <c r="B145" s="112" t="s">
        <v>85</v>
      </c>
      <c r="C145" s="113"/>
      <c r="D145" s="49"/>
    </row>
    <row r="146" spans="1:4" ht="12.75">
      <c r="A146" s="106"/>
      <c r="B146" s="112" t="s">
        <v>115</v>
      </c>
      <c r="C146" s="63">
        <f>1.65+7.6</f>
        <v>9.25</v>
      </c>
      <c r="D146" s="49">
        <f>((C160+D143+D144)/(1-(C146+C148)/100))*C146/100</f>
        <v>617.6362534276116</v>
      </c>
    </row>
    <row r="147" spans="1:4" ht="12.75">
      <c r="A147" s="106"/>
      <c r="B147" s="112" t="s">
        <v>87</v>
      </c>
      <c r="C147" s="113"/>
      <c r="D147" s="49"/>
    </row>
    <row r="148" spans="1:4" ht="12.75">
      <c r="A148" s="106"/>
      <c r="B148" s="112" t="s">
        <v>88</v>
      </c>
      <c r="C148" s="114">
        <v>5</v>
      </c>
      <c r="D148" s="49">
        <f>((C160+D143+D144)/(1-(C146+C148)/100))*C148/100</f>
        <v>333.85743428519544</v>
      </c>
    </row>
    <row r="149" spans="1:4" ht="12.75">
      <c r="A149" s="106"/>
      <c r="B149" s="112" t="s">
        <v>89</v>
      </c>
      <c r="C149" s="113"/>
      <c r="D149" s="49"/>
    </row>
    <row r="150" spans="1:4" ht="13.5" thickBot="1">
      <c r="A150" s="115"/>
      <c r="B150" s="100" t="s">
        <v>47</v>
      </c>
      <c r="C150" s="116">
        <f>SUM(C143:C149)</f>
        <v>25.67</v>
      </c>
      <c r="D150" s="50">
        <f>SUM(D143:D149)</f>
        <v>1553.1622672239662</v>
      </c>
    </row>
    <row r="151" spans="1:4" ht="12.75">
      <c r="A151" s="68"/>
      <c r="B151" s="68"/>
      <c r="C151" s="68"/>
      <c r="D151" s="68"/>
    </row>
    <row r="152" spans="1:4" ht="12.75">
      <c r="A152" s="168" t="s">
        <v>90</v>
      </c>
      <c r="B152" s="168"/>
      <c r="C152" s="168"/>
      <c r="D152" s="122"/>
    </row>
    <row r="153" spans="1:4" ht="13.5" thickBot="1">
      <c r="A153" s="68"/>
      <c r="B153" s="123"/>
      <c r="C153" s="68"/>
      <c r="D153" s="122"/>
    </row>
    <row r="154" spans="1:4" ht="12.75">
      <c r="A154" s="70"/>
      <c r="B154" s="117" t="s">
        <v>91</v>
      </c>
      <c r="C154" s="118" t="s">
        <v>13</v>
      </c>
      <c r="D154" s="122"/>
    </row>
    <row r="155" spans="1:4" ht="12.75">
      <c r="A155" s="45" t="s">
        <v>14</v>
      </c>
      <c r="B155" s="112" t="s">
        <v>92</v>
      </c>
      <c r="C155" s="49">
        <f>C130</f>
        <v>2683.343393935156</v>
      </c>
      <c r="D155" s="122"/>
    </row>
    <row r="156" spans="1:4" ht="12.75">
      <c r="A156" s="45" t="s">
        <v>16</v>
      </c>
      <c r="B156" s="112" t="s">
        <v>93</v>
      </c>
      <c r="C156" s="49">
        <f>C131</f>
        <v>2174.359577509382</v>
      </c>
      <c r="D156" s="122"/>
    </row>
    <row r="157" spans="1:4" ht="12.75">
      <c r="A157" s="45" t="s">
        <v>18</v>
      </c>
      <c r="B157" s="112" t="s">
        <v>94</v>
      </c>
      <c r="C157" s="49">
        <f>C132</f>
        <v>168.76562929425972</v>
      </c>
      <c r="D157" s="122"/>
    </row>
    <row r="158" spans="1:4" ht="12.75">
      <c r="A158" s="45" t="s">
        <v>20</v>
      </c>
      <c r="B158" s="112" t="s">
        <v>63</v>
      </c>
      <c r="C158" s="49">
        <f>C133</f>
        <v>52.367817741145494</v>
      </c>
      <c r="D158" s="122"/>
    </row>
    <row r="159" spans="1:4" ht="12.75">
      <c r="A159" s="45" t="s">
        <v>22</v>
      </c>
      <c r="B159" s="112" t="s">
        <v>95</v>
      </c>
      <c r="C159" s="49">
        <f>C134</f>
        <v>45.15</v>
      </c>
      <c r="D159" s="122"/>
    </row>
    <row r="160" spans="1:4" ht="12.75">
      <c r="A160" s="45"/>
      <c r="B160" s="111" t="s">
        <v>96</v>
      </c>
      <c r="C160" s="119">
        <f>SUM(C155:C159)</f>
        <v>5123.986418479943</v>
      </c>
      <c r="D160" s="122"/>
    </row>
    <row r="161" spans="1:4" ht="12.75">
      <c r="A161" s="45" t="s">
        <v>23</v>
      </c>
      <c r="B161" s="112" t="s">
        <v>97</v>
      </c>
      <c r="C161" s="49">
        <f>D150</f>
        <v>1553.1622672239662</v>
      </c>
      <c r="D161" s="122"/>
    </row>
    <row r="162" spans="1:4" ht="12.75">
      <c r="A162" s="45"/>
      <c r="B162" s="95" t="s">
        <v>98</v>
      </c>
      <c r="C162" s="119">
        <f>SUM(C160:C161)</f>
        <v>6677.148685703909</v>
      </c>
      <c r="D162" s="122"/>
    </row>
    <row r="163" spans="1:4" ht="13.5" thickBot="1">
      <c r="A163" s="42"/>
      <c r="B163" s="120" t="s">
        <v>99</v>
      </c>
      <c r="C163" s="121">
        <f>C162/C39</f>
        <v>2.4883690625640678</v>
      </c>
      <c r="D163" s="122"/>
    </row>
  </sheetData>
  <sheetProtection/>
  <mergeCells count="30">
    <mergeCell ref="B141:D141"/>
    <mergeCell ref="A152:C152"/>
    <mergeCell ref="B41:C41"/>
    <mergeCell ref="B42:C42"/>
    <mergeCell ref="A49:D49"/>
    <mergeCell ref="B98:C98"/>
    <mergeCell ref="B116:D116"/>
    <mergeCell ref="A127:C127"/>
    <mergeCell ref="C15:E15"/>
    <mergeCell ref="C16:E16"/>
    <mergeCell ref="C17:E17"/>
    <mergeCell ref="C18:E18"/>
    <mergeCell ref="A26:C26"/>
    <mergeCell ref="B40:D40"/>
    <mergeCell ref="C19:E19"/>
    <mergeCell ref="C20:E20"/>
    <mergeCell ref="C21:E21"/>
    <mergeCell ref="C22:E22"/>
    <mergeCell ref="B7:E7"/>
    <mergeCell ref="B8:E8"/>
    <mergeCell ref="B10:E10"/>
    <mergeCell ref="C12:E12"/>
    <mergeCell ref="C13:E13"/>
    <mergeCell ref="C14:E14"/>
    <mergeCell ref="B1:E1"/>
    <mergeCell ref="B2:E2"/>
    <mergeCell ref="B3:E3"/>
    <mergeCell ref="B4:E4"/>
    <mergeCell ref="B5:E5"/>
    <mergeCell ref="B6:E6"/>
  </mergeCells>
  <printOptions/>
  <pageMargins left="0.511811024" right="0.511811024" top="0.787401575" bottom="0.787401575" header="0.31496062" footer="0.31496062"/>
  <pageSetup horizontalDpi="600" verticalDpi="600" orientation="portrait" paperSize="9" scale="94" r:id="rId1"/>
  <headerFooter>
    <oddFooter>&amp;L&amp;8ANEXO IV-A2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57"/>
  <sheetViews>
    <sheetView zoomScaleSheetLayoutView="100" workbookViewId="0" topLeftCell="A50">
      <selection activeCell="C74" sqref="C74"/>
    </sheetView>
  </sheetViews>
  <sheetFormatPr defaultColWidth="11.421875" defaultRowHeight="12.75"/>
  <cols>
    <col min="1" max="1" width="5.140625" style="1" customWidth="1"/>
    <col min="2" max="2" width="57.57421875" style="1" customWidth="1"/>
    <col min="3" max="3" width="16.7109375" style="1" customWidth="1"/>
    <col min="4" max="4" width="11.57421875" style="1" bestFit="1" customWidth="1"/>
    <col min="5" max="5" width="6.7109375" style="1" bestFit="1" customWidth="1"/>
    <col min="6" max="6" width="7.7109375" style="2" bestFit="1" customWidth="1"/>
    <col min="7" max="7" width="11.421875" style="1" customWidth="1"/>
    <col min="8" max="8" width="46.00390625" style="1" customWidth="1"/>
    <col min="9" max="9" width="17.00390625" style="1" customWidth="1"/>
    <col min="10" max="10" width="14.28125" style="1" customWidth="1"/>
    <col min="11" max="16384" width="11.421875" style="1" customWidth="1"/>
  </cols>
  <sheetData>
    <row r="1" spans="2:5" ht="12.75">
      <c r="B1" s="151" t="s">
        <v>0</v>
      </c>
      <c r="C1" s="151"/>
      <c r="D1" s="151"/>
      <c r="E1" s="151"/>
    </row>
    <row r="2" spans="2:5" ht="12.75">
      <c r="B2" s="152" t="s">
        <v>1</v>
      </c>
      <c r="C2" s="152"/>
      <c r="D2" s="152"/>
      <c r="E2" s="152"/>
    </row>
    <row r="3" spans="2:5" ht="12.75">
      <c r="B3" s="152" t="s">
        <v>2</v>
      </c>
      <c r="C3" s="152"/>
      <c r="D3" s="152"/>
      <c r="E3" s="152"/>
    </row>
    <row r="4" spans="2:5" ht="12.75">
      <c r="B4" s="153" t="s">
        <v>169</v>
      </c>
      <c r="C4" s="153"/>
      <c r="D4" s="153"/>
      <c r="E4" s="153"/>
    </row>
    <row r="5" spans="2:5" ht="24" customHeight="1">
      <c r="B5" s="154" t="s">
        <v>3</v>
      </c>
      <c r="C5" s="154"/>
      <c r="D5" s="154"/>
      <c r="E5" s="154"/>
    </row>
    <row r="6" spans="2:5" ht="12.75">
      <c r="B6" s="155" t="s">
        <v>128</v>
      </c>
      <c r="C6" s="155"/>
      <c r="D6" s="155"/>
      <c r="E6" s="155"/>
    </row>
    <row r="7" spans="2:5" ht="12.75">
      <c r="B7" s="153" t="s">
        <v>127</v>
      </c>
      <c r="C7" s="153"/>
      <c r="D7" s="153"/>
      <c r="E7" s="153"/>
    </row>
    <row r="8" spans="2:5" ht="12.75">
      <c r="B8" s="156" t="s">
        <v>112</v>
      </c>
      <c r="C8" s="156"/>
      <c r="D8" s="156"/>
      <c r="E8" s="156"/>
    </row>
    <row r="9" ht="12.75"/>
    <row r="10" spans="1:5" s="2" customFormat="1" ht="12.75">
      <c r="A10" s="1"/>
      <c r="B10" s="157" t="s">
        <v>4</v>
      </c>
      <c r="C10" s="157"/>
      <c r="D10" s="157"/>
      <c r="E10" s="157"/>
    </row>
    <row r="11" spans="1:5" s="2" customFormat="1" ht="17.25" customHeight="1" thickBot="1">
      <c r="A11" s="1"/>
      <c r="B11" s="3" t="s">
        <v>5</v>
      </c>
      <c r="C11" s="4"/>
      <c r="D11" s="4"/>
      <c r="E11" s="4"/>
    </row>
    <row r="12" spans="1:5" s="2" customFormat="1" ht="24" customHeight="1">
      <c r="A12" s="1"/>
      <c r="B12" s="216" t="s">
        <v>6</v>
      </c>
      <c r="C12" s="214" t="s">
        <v>142</v>
      </c>
      <c r="D12" s="214"/>
      <c r="E12" s="215"/>
    </row>
    <row r="13" spans="1:5" s="2" customFormat="1" ht="15.75" customHeight="1">
      <c r="A13" s="1"/>
      <c r="B13" s="201" t="s">
        <v>7</v>
      </c>
      <c r="C13" s="158">
        <v>20.88</v>
      </c>
      <c r="D13" s="158"/>
      <c r="E13" s="202"/>
    </row>
    <row r="14" spans="1:5" s="2" customFormat="1" ht="15.75" customHeight="1">
      <c r="A14" s="1"/>
      <c r="B14" s="203" t="s">
        <v>8</v>
      </c>
      <c r="C14" s="159" t="s">
        <v>141</v>
      </c>
      <c r="D14" s="160"/>
      <c r="E14" s="204"/>
    </row>
    <row r="15" spans="1:5" s="2" customFormat="1" ht="15.75" customHeight="1">
      <c r="A15" s="1"/>
      <c r="B15" s="201" t="s">
        <v>9</v>
      </c>
      <c r="C15" s="161">
        <v>1831.48</v>
      </c>
      <c r="D15" s="161"/>
      <c r="E15" s="205"/>
    </row>
    <row r="16" spans="1:5" s="2" customFormat="1" ht="15.75" customHeight="1">
      <c r="A16" s="1"/>
      <c r="B16" s="206" t="s">
        <v>10</v>
      </c>
      <c r="C16" s="158" t="s">
        <v>138</v>
      </c>
      <c r="D16" s="158"/>
      <c r="E16" s="202"/>
    </row>
    <row r="17" spans="1:5" s="2" customFormat="1" ht="15.75" customHeight="1">
      <c r="A17" s="1"/>
      <c r="B17" s="207" t="s">
        <v>119</v>
      </c>
      <c r="C17" s="162">
        <v>1</v>
      </c>
      <c r="D17" s="163"/>
      <c r="E17" s="208"/>
    </row>
    <row r="18" spans="1:5" s="2" customFormat="1" ht="15.75" customHeight="1">
      <c r="A18" s="1"/>
      <c r="B18" s="209" t="s">
        <v>163</v>
      </c>
      <c r="C18" s="196"/>
      <c r="D18" s="196"/>
      <c r="E18" s="210"/>
    </row>
    <row r="19" spans="1:5" s="2" customFormat="1" ht="15.75" customHeight="1">
      <c r="A19" s="1"/>
      <c r="B19" s="209" t="s">
        <v>164</v>
      </c>
      <c r="C19" s="196"/>
      <c r="D19" s="196"/>
      <c r="E19" s="210"/>
    </row>
    <row r="20" spans="1:5" s="2" customFormat="1" ht="15.75" customHeight="1">
      <c r="A20" s="1"/>
      <c r="B20" s="209" t="s">
        <v>165</v>
      </c>
      <c r="C20" s="196"/>
      <c r="D20" s="196"/>
      <c r="E20" s="210"/>
    </row>
    <row r="21" spans="1:5" s="2" customFormat="1" ht="15.75" customHeight="1">
      <c r="A21" s="1"/>
      <c r="B21" s="209" t="s">
        <v>166</v>
      </c>
      <c r="C21" s="196"/>
      <c r="D21" s="196"/>
      <c r="E21" s="210"/>
    </row>
    <row r="22" spans="1:5" s="2" customFormat="1" ht="15.75" customHeight="1" thickBot="1">
      <c r="A22" s="1"/>
      <c r="B22" s="211" t="s">
        <v>167</v>
      </c>
      <c r="C22" s="212"/>
      <c r="D22" s="212"/>
      <c r="E22" s="213"/>
    </row>
    <row r="23" spans="1:5" s="2" customFormat="1" ht="15.75" customHeight="1">
      <c r="A23" s="1"/>
      <c r="B23" s="187"/>
      <c r="C23" s="188"/>
      <c r="D23" s="188"/>
      <c r="E23" s="188"/>
    </row>
    <row r="24" spans="1:3" s="2" customFormat="1" ht="15.75" customHeight="1">
      <c r="A24" s="1"/>
      <c r="B24" s="1"/>
      <c r="C24" s="10"/>
    </row>
    <row r="25" spans="1:2" s="2" customFormat="1" ht="12" customHeight="1" thickBot="1">
      <c r="A25" s="1"/>
      <c r="B25" s="1"/>
    </row>
    <row r="26" spans="1:3" s="2" customFormat="1" ht="15.75" customHeight="1">
      <c r="A26" s="165" t="s">
        <v>11</v>
      </c>
      <c r="B26" s="165"/>
      <c r="C26" s="165"/>
    </row>
    <row r="27" spans="1:3" s="2" customFormat="1" ht="15.75" customHeight="1">
      <c r="A27" s="32">
        <v>1</v>
      </c>
      <c r="B27" s="33" t="s">
        <v>12</v>
      </c>
      <c r="C27" s="34" t="s">
        <v>13</v>
      </c>
    </row>
    <row r="28" spans="1:3" s="2" customFormat="1" ht="15.75" customHeight="1">
      <c r="A28" s="35" t="s">
        <v>14</v>
      </c>
      <c r="B28" s="36" t="s">
        <v>15</v>
      </c>
      <c r="C28" s="37">
        <f>C15</f>
        <v>1831.48</v>
      </c>
    </row>
    <row r="29" spans="1:3" s="2" customFormat="1" ht="15.75" customHeight="1">
      <c r="A29" s="35" t="s">
        <v>16</v>
      </c>
      <c r="B29" s="36" t="s">
        <v>17</v>
      </c>
      <c r="C29" s="38"/>
    </row>
    <row r="30" spans="1:6" ht="15.75" customHeight="1">
      <c r="A30" s="35" t="s">
        <v>18</v>
      </c>
      <c r="B30" s="36" t="s">
        <v>19</v>
      </c>
      <c r="C30" s="38">
        <f>20%*C15</f>
        <v>366.29600000000005</v>
      </c>
      <c r="D30" s="2"/>
      <c r="F30" s="1"/>
    </row>
    <row r="31" spans="1:6" ht="15.75" customHeight="1">
      <c r="A31" s="35" t="s">
        <v>20</v>
      </c>
      <c r="B31" s="39" t="s">
        <v>21</v>
      </c>
      <c r="C31" s="38"/>
      <c r="D31" s="2"/>
      <c r="F31" s="1"/>
    </row>
    <row r="32" spans="1:6" ht="15.75" customHeight="1">
      <c r="A32" s="35" t="s">
        <v>22</v>
      </c>
      <c r="B32" s="39" t="s">
        <v>101</v>
      </c>
      <c r="C32" s="38"/>
      <c r="D32" s="2"/>
      <c r="F32" s="1"/>
    </row>
    <row r="33" spans="1:6" ht="15.75" customHeight="1">
      <c r="A33" s="35" t="s">
        <v>23</v>
      </c>
      <c r="B33" s="40" t="s">
        <v>113</v>
      </c>
      <c r="C33" s="41"/>
      <c r="D33" s="2"/>
      <c r="F33" s="1"/>
    </row>
    <row r="34" spans="1:6" ht="15.75" customHeight="1" thickBot="1">
      <c r="A34" s="42"/>
      <c r="B34" s="43" t="s">
        <v>24</v>
      </c>
      <c r="C34" s="44">
        <f>SUM(C28:C33)</f>
        <v>2197.776</v>
      </c>
      <c r="D34" s="2"/>
      <c r="F34" s="1"/>
    </row>
    <row r="35" spans="2:6" ht="15.75" customHeight="1" thickBot="1">
      <c r="B35" s="166"/>
      <c r="C35" s="166"/>
      <c r="D35" s="166"/>
      <c r="E35" s="2"/>
      <c r="F35" s="1"/>
    </row>
    <row r="36" spans="1:6" ht="15.75" customHeight="1">
      <c r="A36" s="5"/>
      <c r="B36" s="167" t="s">
        <v>25</v>
      </c>
      <c r="C36" s="167"/>
      <c r="D36" s="2"/>
      <c r="F36" s="1"/>
    </row>
    <row r="37" spans="1:6" ht="15.75" customHeight="1">
      <c r="A37" s="45"/>
      <c r="B37" s="169" t="s">
        <v>26</v>
      </c>
      <c r="C37" s="169"/>
      <c r="D37" s="2"/>
      <c r="F37" s="1"/>
    </row>
    <row r="38" spans="1:6" ht="15.75" customHeight="1">
      <c r="A38" s="32" t="s">
        <v>27</v>
      </c>
      <c r="B38" s="48" t="s">
        <v>28</v>
      </c>
      <c r="C38" s="34" t="s">
        <v>29</v>
      </c>
      <c r="D38" s="2"/>
      <c r="F38" s="1"/>
    </row>
    <row r="39" spans="1:6" ht="15.75" customHeight="1">
      <c r="A39" s="35" t="s">
        <v>14</v>
      </c>
      <c r="B39" s="46" t="s">
        <v>30</v>
      </c>
      <c r="C39" s="49">
        <f>C34*8.33%</f>
        <v>183.07474079999997</v>
      </c>
      <c r="D39" s="2"/>
      <c r="F39" s="1"/>
    </row>
    <row r="40" spans="1:6" ht="15.75" customHeight="1">
      <c r="A40" s="35" t="s">
        <v>16</v>
      </c>
      <c r="B40" s="46" t="s">
        <v>31</v>
      </c>
      <c r="C40" s="49">
        <f>C34*12.1%</f>
        <v>265.93089599999996</v>
      </c>
      <c r="D40" s="132"/>
      <c r="F40" s="1"/>
    </row>
    <row r="41" spans="1:6" ht="15.75" customHeight="1">
      <c r="A41" s="127"/>
      <c r="B41" s="130" t="s">
        <v>32</v>
      </c>
      <c r="C41" s="125">
        <f>SUM(C39:C40)</f>
        <v>449.00563679999993</v>
      </c>
      <c r="D41" s="30"/>
      <c r="F41" s="1"/>
    </row>
    <row r="42" spans="1:6" ht="35.25" customHeight="1">
      <c r="A42" s="128" t="s">
        <v>18</v>
      </c>
      <c r="B42" s="131" t="s">
        <v>118</v>
      </c>
      <c r="C42" s="129">
        <f>C34*7.82%</f>
        <v>171.8660832</v>
      </c>
      <c r="D42" s="30"/>
      <c r="F42" s="1"/>
    </row>
    <row r="43" spans="5:6" ht="15.75" customHeight="1" thickBot="1">
      <c r="E43" s="2"/>
      <c r="F43" s="1"/>
    </row>
    <row r="44" spans="1:6" ht="24.75" customHeight="1" thickBot="1">
      <c r="A44" s="170" t="s">
        <v>33</v>
      </c>
      <c r="B44" s="170"/>
      <c r="C44" s="170"/>
      <c r="D44" s="170"/>
      <c r="E44" s="2"/>
      <c r="F44" s="1"/>
    </row>
    <row r="45" spans="1:6" ht="13.5" customHeight="1" thickBot="1">
      <c r="A45" s="51" t="s">
        <v>34</v>
      </c>
      <c r="B45" s="52" t="s">
        <v>35</v>
      </c>
      <c r="C45" s="53" t="s">
        <v>36</v>
      </c>
      <c r="D45" s="54" t="s">
        <v>13</v>
      </c>
      <c r="E45" s="2"/>
      <c r="F45" s="1"/>
    </row>
    <row r="46" spans="1:6" ht="14.25" customHeight="1">
      <c r="A46" s="55" t="s">
        <v>14</v>
      </c>
      <c r="B46" s="56" t="s">
        <v>37</v>
      </c>
      <c r="C46" s="57">
        <v>20</v>
      </c>
      <c r="D46" s="58">
        <f>(C34*(C46/100))</f>
        <v>439.5552</v>
      </c>
      <c r="E46" s="2"/>
      <c r="F46" s="1"/>
    </row>
    <row r="47" spans="1:6" ht="14.25" customHeight="1">
      <c r="A47" s="55" t="s">
        <v>16</v>
      </c>
      <c r="B47" s="59" t="s">
        <v>38</v>
      </c>
      <c r="C47" s="60">
        <v>2.5</v>
      </c>
      <c r="D47" s="61">
        <f>(C34*(C47/100))</f>
        <v>54.9444</v>
      </c>
      <c r="E47" s="2"/>
      <c r="F47" s="1"/>
    </row>
    <row r="48" spans="1:6" ht="14.25" customHeight="1">
      <c r="A48" s="55" t="s">
        <v>18</v>
      </c>
      <c r="B48" s="62" t="s">
        <v>39</v>
      </c>
      <c r="C48" s="63">
        <v>4</v>
      </c>
      <c r="D48" s="49">
        <f aca="true" t="shared" si="0" ref="D48:D53">($C$34*(C48/100))</f>
        <v>87.91104</v>
      </c>
      <c r="E48" s="2"/>
      <c r="F48" s="1"/>
    </row>
    <row r="49" spans="1:6" ht="14.25" customHeight="1">
      <c r="A49" s="55" t="s">
        <v>20</v>
      </c>
      <c r="B49" s="59" t="s">
        <v>40</v>
      </c>
      <c r="C49" s="60">
        <v>1.5</v>
      </c>
      <c r="D49" s="61">
        <f t="shared" si="0"/>
        <v>32.96664</v>
      </c>
      <c r="E49" s="2"/>
      <c r="F49" s="1"/>
    </row>
    <row r="50" spans="1:6" ht="14.25" customHeight="1">
      <c r="A50" s="55" t="s">
        <v>22</v>
      </c>
      <c r="B50" s="59" t="s">
        <v>41</v>
      </c>
      <c r="C50" s="60">
        <v>1</v>
      </c>
      <c r="D50" s="61">
        <f t="shared" si="0"/>
        <v>21.97776</v>
      </c>
      <c r="E50" s="2"/>
      <c r="F50" s="1"/>
    </row>
    <row r="51" spans="1:6" ht="14.25" customHeight="1">
      <c r="A51" s="55" t="s">
        <v>23</v>
      </c>
      <c r="B51" s="59" t="s">
        <v>42</v>
      </c>
      <c r="C51" s="60">
        <v>0.6000000000000001</v>
      </c>
      <c r="D51" s="61">
        <f t="shared" si="0"/>
        <v>13.186656000000001</v>
      </c>
      <c r="E51" s="2"/>
      <c r="F51" s="1"/>
    </row>
    <row r="52" spans="1:6" ht="14.25" customHeight="1">
      <c r="A52" s="55" t="s">
        <v>43</v>
      </c>
      <c r="B52" s="59" t="s">
        <v>44</v>
      </c>
      <c r="C52" s="60">
        <v>0.2</v>
      </c>
      <c r="D52" s="61">
        <f t="shared" si="0"/>
        <v>4.3955519999999995</v>
      </c>
      <c r="E52" s="2"/>
      <c r="F52" s="1"/>
    </row>
    <row r="53" spans="1:6" ht="14.25" customHeight="1">
      <c r="A53" s="55" t="s">
        <v>45</v>
      </c>
      <c r="B53" s="62" t="s">
        <v>46</v>
      </c>
      <c r="C53" s="63">
        <v>8</v>
      </c>
      <c r="D53" s="49">
        <f t="shared" si="0"/>
        <v>175.82208</v>
      </c>
      <c r="E53" s="2"/>
      <c r="F53" s="1"/>
    </row>
    <row r="54" spans="1:6" ht="14.25" customHeight="1" thickBot="1">
      <c r="A54" s="64"/>
      <c r="B54" s="65" t="s">
        <v>47</v>
      </c>
      <c r="C54" s="66">
        <f>SUM(C46:C53)</f>
        <v>37.8</v>
      </c>
      <c r="D54" s="67">
        <f>SUM(D46:D53)</f>
        <v>830.7593279999999</v>
      </c>
      <c r="E54" s="2"/>
      <c r="F54" s="1"/>
    </row>
    <row r="55" spans="1:6" ht="14.25" customHeight="1">
      <c r="A55" s="68"/>
      <c r="B55" s="69" t="s">
        <v>48</v>
      </c>
      <c r="C55" s="68"/>
      <c r="D55" s="68"/>
      <c r="E55" s="2"/>
      <c r="F55" s="1"/>
    </row>
    <row r="56" spans="1:6" ht="14.25" customHeight="1" thickBot="1">
      <c r="A56" s="68"/>
      <c r="B56" s="69"/>
      <c r="C56" s="68"/>
      <c r="D56" s="68"/>
      <c r="E56" s="2"/>
      <c r="F56" s="1"/>
    </row>
    <row r="57" spans="1:6" ht="14.25" customHeight="1">
      <c r="A57" s="70"/>
      <c r="B57" s="71" t="s">
        <v>49</v>
      </c>
      <c r="C57" s="72"/>
      <c r="D57" s="2"/>
      <c r="F57" s="1"/>
    </row>
    <row r="58" spans="1:6" ht="14.25" customHeight="1">
      <c r="A58" s="32" t="s">
        <v>50</v>
      </c>
      <c r="B58" s="33" t="s">
        <v>51</v>
      </c>
      <c r="C58" s="34" t="s">
        <v>13</v>
      </c>
      <c r="D58" s="2"/>
      <c r="F58" s="1"/>
    </row>
    <row r="59" spans="1:6" ht="14.25" customHeight="1">
      <c r="A59" s="35" t="s">
        <v>14</v>
      </c>
      <c r="B59" s="73" t="s">
        <v>52</v>
      </c>
      <c r="C59" s="38">
        <f>((4.05*2*C13)-(C15*6%))</f>
        <v>59.23919999999998</v>
      </c>
      <c r="D59" s="2"/>
      <c r="F59" s="1"/>
    </row>
    <row r="60" spans="1:6" ht="14.25" customHeight="1">
      <c r="A60" s="35" t="s">
        <v>16</v>
      </c>
      <c r="B60" s="36" t="s">
        <v>120</v>
      </c>
      <c r="C60" s="38">
        <f>((18*20.88)-(18*20.88*10%))</f>
        <v>338.256</v>
      </c>
      <c r="D60" s="2"/>
      <c r="F60" s="1"/>
    </row>
    <row r="61" spans="1:6" ht="14.25" customHeight="1">
      <c r="A61" s="35" t="s">
        <v>18</v>
      </c>
      <c r="B61" s="36" t="s">
        <v>121</v>
      </c>
      <c r="C61" s="38">
        <v>13</v>
      </c>
      <c r="D61" s="2"/>
      <c r="F61" s="1"/>
    </row>
    <row r="62" spans="1:6" ht="14.25" customHeight="1">
      <c r="A62" s="35" t="s">
        <v>20</v>
      </c>
      <c r="B62" s="36" t="s">
        <v>113</v>
      </c>
      <c r="C62" s="38">
        <v>0</v>
      </c>
      <c r="D62" s="2"/>
      <c r="F62" s="1"/>
    </row>
    <row r="63" spans="1:6" ht="14.25" customHeight="1" thickBot="1">
      <c r="A63" s="42"/>
      <c r="B63" s="43" t="s">
        <v>53</v>
      </c>
      <c r="C63" s="44">
        <f>SUM(C59:C62)</f>
        <v>410.49519999999995</v>
      </c>
      <c r="D63" s="2"/>
      <c r="F63" s="1"/>
    </row>
    <row r="64" spans="1:6" ht="14.25" customHeight="1" thickBot="1">
      <c r="A64" s="68"/>
      <c r="B64" s="74"/>
      <c r="C64" s="75"/>
      <c r="D64" s="11"/>
      <c r="E64" s="2"/>
      <c r="F64" s="1"/>
    </row>
    <row r="65" spans="1:6" ht="14.25" customHeight="1">
      <c r="A65" s="70"/>
      <c r="B65" s="76" t="s">
        <v>54</v>
      </c>
      <c r="C65" s="77"/>
      <c r="D65" s="2"/>
      <c r="F65" s="1"/>
    </row>
    <row r="66" spans="1:6" ht="14.25" customHeight="1">
      <c r="A66" s="35">
        <v>2</v>
      </c>
      <c r="B66" s="78" t="s">
        <v>55</v>
      </c>
      <c r="C66" s="79" t="s">
        <v>29</v>
      </c>
      <c r="D66" s="2"/>
      <c r="F66" s="1"/>
    </row>
    <row r="67" spans="1:6" ht="14.25" customHeight="1">
      <c r="A67" s="35" t="s">
        <v>27</v>
      </c>
      <c r="B67" s="36" t="s">
        <v>28</v>
      </c>
      <c r="C67" s="37">
        <f>C41</f>
        <v>449.00563679999993</v>
      </c>
      <c r="D67" s="2"/>
      <c r="F67" s="1"/>
    </row>
    <row r="68" spans="1:6" ht="14.25" customHeight="1">
      <c r="A68" s="35" t="s">
        <v>34</v>
      </c>
      <c r="B68" s="36" t="s">
        <v>35</v>
      </c>
      <c r="C68" s="37">
        <f>D54+C42</f>
        <v>1002.6254111999999</v>
      </c>
      <c r="D68" s="2"/>
      <c r="F68" s="1"/>
    </row>
    <row r="69" spans="1:6" ht="14.25" customHeight="1">
      <c r="A69" s="35" t="s">
        <v>50</v>
      </c>
      <c r="B69" s="36" t="s">
        <v>51</v>
      </c>
      <c r="C69" s="37">
        <f>C63</f>
        <v>410.49519999999995</v>
      </c>
      <c r="D69" s="2"/>
      <c r="F69" s="1"/>
    </row>
    <row r="70" spans="1:6" ht="14.25" customHeight="1" thickBot="1">
      <c r="A70" s="42"/>
      <c r="B70" s="80" t="s">
        <v>32</v>
      </c>
      <c r="C70" s="81">
        <f>SUM(C67:C69)</f>
        <v>1862.1262479999996</v>
      </c>
      <c r="D70" s="2"/>
      <c r="F70" s="1"/>
    </row>
    <row r="71" spans="2:6" ht="14.25" customHeight="1" thickBot="1">
      <c r="B71" s="13"/>
      <c r="C71" s="11"/>
      <c r="D71" s="11"/>
      <c r="E71" s="2"/>
      <c r="F71" s="1"/>
    </row>
    <row r="72" spans="1:6" ht="14.25" customHeight="1">
      <c r="A72" s="83"/>
      <c r="B72" s="84" t="s">
        <v>117</v>
      </c>
      <c r="C72" s="85"/>
      <c r="D72" s="2"/>
      <c r="F72" s="1"/>
    </row>
    <row r="73" spans="1:6" ht="14.25" customHeight="1">
      <c r="A73" s="86">
        <v>3</v>
      </c>
      <c r="B73" s="87" t="s">
        <v>56</v>
      </c>
      <c r="C73" s="88" t="s">
        <v>13</v>
      </c>
      <c r="D73" s="2"/>
      <c r="F73" s="1"/>
    </row>
    <row r="74" spans="1:6" ht="14.25" customHeight="1">
      <c r="A74" s="89" t="s">
        <v>14</v>
      </c>
      <c r="B74" s="90" t="s">
        <v>57</v>
      </c>
      <c r="C74" s="126">
        <f>((C34+C39+C40)/12)*5%</f>
        <v>11.028256819999998</v>
      </c>
      <c r="D74" s="2"/>
      <c r="F74" s="1"/>
    </row>
    <row r="75" spans="1:6" ht="14.25" customHeight="1">
      <c r="A75" s="89" t="s">
        <v>16</v>
      </c>
      <c r="B75" s="90" t="s">
        <v>58</v>
      </c>
      <c r="C75" s="91">
        <f>((C34+C39)/12)*5%*8%</f>
        <v>0.7936169136</v>
      </c>
      <c r="D75" s="2"/>
      <c r="F75" s="1"/>
    </row>
    <row r="76" spans="1:6" ht="14.25" customHeight="1">
      <c r="A76" s="89" t="s">
        <v>18</v>
      </c>
      <c r="B76" s="90" t="s">
        <v>59</v>
      </c>
      <c r="C76" s="91">
        <v>0</v>
      </c>
      <c r="D76" s="2"/>
      <c r="F76" s="1"/>
    </row>
    <row r="77" spans="1:6" ht="14.25" customHeight="1">
      <c r="A77" s="89" t="s">
        <v>20</v>
      </c>
      <c r="B77" s="90" t="s">
        <v>60</v>
      </c>
      <c r="C77" s="91">
        <f>(((C34+C61)/30/12)*7)</f>
        <v>42.987311111111104</v>
      </c>
      <c r="D77" s="2"/>
      <c r="F77" s="1"/>
    </row>
    <row r="78" spans="1:6" ht="22.5">
      <c r="A78" s="89" t="s">
        <v>22</v>
      </c>
      <c r="B78" s="90" t="s">
        <v>61</v>
      </c>
      <c r="C78" s="92">
        <f>(C34/30/12*7)*8%</f>
        <v>3.418762666666666</v>
      </c>
      <c r="D78" s="2"/>
      <c r="F78" s="1"/>
    </row>
    <row r="79" spans="1:6" ht="14.25" customHeight="1">
      <c r="A79" s="89" t="s">
        <v>23</v>
      </c>
      <c r="B79" s="90" t="s">
        <v>62</v>
      </c>
      <c r="C79" s="91">
        <f>C34*4%</f>
        <v>87.91104</v>
      </c>
      <c r="D79" s="2"/>
      <c r="F79" s="1"/>
    </row>
    <row r="80" spans="1:6" ht="14.25" customHeight="1">
      <c r="A80" s="93"/>
      <c r="B80" s="87" t="s">
        <v>47</v>
      </c>
      <c r="C80" s="94">
        <f>SUM(C74:C79)</f>
        <v>146.13898751137776</v>
      </c>
      <c r="D80" s="2"/>
      <c r="F80" s="1"/>
    </row>
    <row r="81" spans="5:6" ht="14.25" customHeight="1" thickBot="1">
      <c r="E81" s="2"/>
      <c r="F81" s="1"/>
    </row>
    <row r="82" spans="1:6" ht="14.25" customHeight="1">
      <c r="A82" s="5"/>
      <c r="B82" s="82" t="s">
        <v>116</v>
      </c>
      <c r="C82" s="14"/>
      <c r="D82" s="31"/>
      <c r="F82" s="1"/>
    </row>
    <row r="83" spans="1:6" ht="14.25" customHeight="1">
      <c r="A83" s="45"/>
      <c r="B83" s="78" t="s">
        <v>64</v>
      </c>
      <c r="C83" s="34"/>
      <c r="D83" s="2"/>
      <c r="F83" s="1"/>
    </row>
    <row r="84" spans="1:6" ht="14.25" customHeight="1">
      <c r="A84" s="32" t="s">
        <v>65</v>
      </c>
      <c r="B84" s="95" t="s">
        <v>66</v>
      </c>
      <c r="C84" s="96" t="s">
        <v>13</v>
      </c>
      <c r="D84" s="2"/>
      <c r="F84" s="1"/>
    </row>
    <row r="85" spans="1:6" ht="14.25" customHeight="1">
      <c r="A85" s="35" t="s">
        <v>14</v>
      </c>
      <c r="B85" s="97" t="s">
        <v>67</v>
      </c>
      <c r="C85" s="98">
        <v>0</v>
      </c>
      <c r="D85" s="2"/>
      <c r="F85" s="1"/>
    </row>
    <row r="86" spans="1:6" ht="14.25" customHeight="1">
      <c r="A86" s="35" t="s">
        <v>16</v>
      </c>
      <c r="B86" s="97" t="s">
        <v>109</v>
      </c>
      <c r="C86" s="98">
        <f>(((C34+C70+C80+C89+C108)-(C59-C60-C107))/30*2.96)/12</f>
        <v>39.97271297364938</v>
      </c>
      <c r="D86" s="2"/>
      <c r="F86" s="1"/>
    </row>
    <row r="87" spans="1:6" ht="14.25" customHeight="1">
      <c r="A87" s="35" t="s">
        <v>18</v>
      </c>
      <c r="B87" s="97" t="s">
        <v>110</v>
      </c>
      <c r="C87" s="98">
        <f>(((C34+C70+C80+C89+C108)-(C59-C60-C107))/30*5*1.5%)/12</f>
        <v>1.0128221192647646</v>
      </c>
      <c r="D87" s="2"/>
      <c r="F87" s="1"/>
    </row>
    <row r="88" spans="1:6" ht="14.25" customHeight="1">
      <c r="A88" s="35" t="s">
        <v>20</v>
      </c>
      <c r="B88" s="97" t="s">
        <v>111</v>
      </c>
      <c r="C88" s="98">
        <f>(((C34+C70+C80+C89+C108)-(C59-C60-C107))/30*15*0.78%)/12</f>
        <v>1.580002506053033</v>
      </c>
      <c r="D88" s="2"/>
      <c r="F88" s="1"/>
    </row>
    <row r="89" spans="1:6" ht="14.25" customHeight="1">
      <c r="A89" s="35" t="s">
        <v>22</v>
      </c>
      <c r="B89" s="97" t="s">
        <v>114</v>
      </c>
      <c r="C89" s="98">
        <f>(((C40*3.95/12)+(C61*3.95*0.0865%))/12+((C34+C39)*39.8%*3.95)*0.0865%/12)</f>
        <v>7.568136959492841</v>
      </c>
      <c r="D89" s="30"/>
      <c r="F89" s="1"/>
    </row>
    <row r="90" spans="1:6" ht="14.25" customHeight="1">
      <c r="A90" s="35" t="s">
        <v>23</v>
      </c>
      <c r="B90" s="99" t="s">
        <v>68</v>
      </c>
      <c r="C90" s="98">
        <v>0</v>
      </c>
      <c r="D90" s="2"/>
      <c r="F90" s="1"/>
    </row>
    <row r="91" spans="1:6" ht="14.25" customHeight="1" thickBot="1">
      <c r="A91" s="42"/>
      <c r="B91" s="100" t="s">
        <v>47</v>
      </c>
      <c r="C91" s="50">
        <f>SUM(C85:C90)</f>
        <v>50.133674558460015</v>
      </c>
      <c r="D91" s="2"/>
      <c r="F91" s="1"/>
    </row>
    <row r="92" spans="1:6" ht="14.25" customHeight="1" thickBot="1">
      <c r="A92" s="68"/>
      <c r="B92" s="68"/>
      <c r="C92" s="68"/>
      <c r="E92" s="2"/>
      <c r="F92" s="1"/>
    </row>
    <row r="93" spans="1:6" ht="14.25" customHeight="1">
      <c r="A93" s="101"/>
      <c r="B93" s="171" t="s">
        <v>69</v>
      </c>
      <c r="C93" s="171"/>
      <c r="D93" s="2"/>
      <c r="F93" s="1"/>
    </row>
    <row r="94" spans="1:6" ht="14.25" customHeight="1">
      <c r="A94" s="32" t="s">
        <v>70</v>
      </c>
      <c r="B94" s="95" t="s">
        <v>71</v>
      </c>
      <c r="C94" s="96" t="s">
        <v>13</v>
      </c>
      <c r="D94" s="2"/>
      <c r="F94" s="1"/>
    </row>
    <row r="95" spans="1:6" ht="14.25" customHeight="1">
      <c r="A95" s="35" t="s">
        <v>14</v>
      </c>
      <c r="B95" s="102" t="s">
        <v>72</v>
      </c>
      <c r="C95" s="124">
        <v>0</v>
      </c>
      <c r="D95" s="2"/>
      <c r="F95" s="1"/>
    </row>
    <row r="96" spans="1:6" ht="14.25" customHeight="1" thickBot="1">
      <c r="A96" s="47"/>
      <c r="B96" s="100" t="s">
        <v>47</v>
      </c>
      <c r="C96" s="103">
        <v>0</v>
      </c>
      <c r="D96" s="15"/>
      <c r="F96" s="1"/>
    </row>
    <row r="97" spans="1:6" ht="14.25" customHeight="1" thickBot="1">
      <c r="A97" s="68"/>
      <c r="B97" s="68"/>
      <c r="C97" s="68"/>
      <c r="E97" s="2"/>
      <c r="F97" s="1"/>
    </row>
    <row r="98" spans="1:6" ht="14.25" customHeight="1">
      <c r="A98" s="70"/>
      <c r="B98" s="76" t="s">
        <v>73</v>
      </c>
      <c r="C98" s="77"/>
      <c r="D98" s="2"/>
      <c r="F98" s="1"/>
    </row>
    <row r="99" spans="1:6" ht="14.25" customHeight="1">
      <c r="A99" s="32">
        <v>4</v>
      </c>
      <c r="B99" s="78" t="s">
        <v>74</v>
      </c>
      <c r="C99" s="79" t="s">
        <v>29</v>
      </c>
      <c r="D99" s="2"/>
      <c r="F99" s="1"/>
    </row>
    <row r="100" spans="1:4" s="17" customFormat="1" ht="15" customHeight="1">
      <c r="A100" s="35" t="s">
        <v>65</v>
      </c>
      <c r="B100" s="36" t="s">
        <v>66</v>
      </c>
      <c r="C100" s="37">
        <f>C91</f>
        <v>50.133674558460015</v>
      </c>
      <c r="D100" s="16"/>
    </row>
    <row r="101" spans="1:6" ht="15" customHeight="1">
      <c r="A101" s="35" t="s">
        <v>70</v>
      </c>
      <c r="B101" s="36" t="s">
        <v>71</v>
      </c>
      <c r="C101" s="37">
        <v>0</v>
      </c>
      <c r="D101" s="2"/>
      <c r="F101" s="1"/>
    </row>
    <row r="102" spans="1:6" ht="15" customHeight="1" thickBot="1">
      <c r="A102" s="42"/>
      <c r="B102" s="80" t="s">
        <v>32</v>
      </c>
      <c r="C102" s="44">
        <f>SUM(C100:C101)</f>
        <v>50.133674558460015</v>
      </c>
      <c r="D102" s="2"/>
      <c r="F102" s="1"/>
    </row>
    <row r="103" ht="15" customHeight="1" thickBot="1">
      <c r="F103" s="1"/>
    </row>
    <row r="104" spans="1:6" ht="15" customHeight="1">
      <c r="A104" s="18"/>
      <c r="B104" s="82" t="s">
        <v>75</v>
      </c>
      <c r="C104" s="12"/>
      <c r="F104" s="1"/>
    </row>
    <row r="105" spans="1:6" ht="15" customHeight="1">
      <c r="A105" s="104">
        <v>5</v>
      </c>
      <c r="B105" s="105" t="s">
        <v>76</v>
      </c>
      <c r="C105" s="34" t="s">
        <v>13</v>
      </c>
      <c r="F105" s="1"/>
    </row>
    <row r="106" spans="1:6" ht="15" customHeight="1">
      <c r="A106" s="106" t="s">
        <v>14</v>
      </c>
      <c r="B106" s="107" t="s">
        <v>77</v>
      </c>
      <c r="C106" s="38">
        <v>37.48</v>
      </c>
      <c r="F106" s="1"/>
    </row>
    <row r="107" spans="1:6" ht="15" customHeight="1">
      <c r="A107" s="106" t="s">
        <v>16</v>
      </c>
      <c r="B107" s="107" t="s">
        <v>78</v>
      </c>
      <c r="C107" s="134">
        <v>3.29</v>
      </c>
      <c r="D107" s="133"/>
      <c r="F107" s="133"/>
    </row>
    <row r="108" spans="1:6" ht="15" customHeight="1" thickBot="1">
      <c r="A108" s="108"/>
      <c r="B108" s="109" t="s">
        <v>79</v>
      </c>
      <c r="C108" s="110">
        <f>41.84+314.2+9.59</f>
        <v>365.62999999999994</v>
      </c>
      <c r="F108" s="1"/>
    </row>
    <row r="109" spans="1:6" ht="15" customHeight="1" thickBot="1">
      <c r="A109" s="19"/>
      <c r="B109" s="20"/>
      <c r="C109" s="21"/>
      <c r="D109" s="21"/>
      <c r="F109" s="1"/>
    </row>
    <row r="110" spans="1:6" ht="15" customHeight="1">
      <c r="A110" s="22"/>
      <c r="B110" s="174" t="s">
        <v>80</v>
      </c>
      <c r="C110" s="175"/>
      <c r="D110" s="176"/>
      <c r="F110" s="1"/>
    </row>
    <row r="111" spans="1:6" ht="15" customHeight="1">
      <c r="A111" s="104">
        <v>6</v>
      </c>
      <c r="B111" s="95" t="s">
        <v>82</v>
      </c>
      <c r="C111" s="111" t="s">
        <v>36</v>
      </c>
      <c r="D111" s="96" t="s">
        <v>13</v>
      </c>
      <c r="F111" s="1"/>
    </row>
    <row r="112" spans="1:6" ht="15" customHeight="1">
      <c r="A112" s="106" t="s">
        <v>14</v>
      </c>
      <c r="B112" s="112" t="s">
        <v>83</v>
      </c>
      <c r="C112" s="113">
        <v>7.01</v>
      </c>
      <c r="D112" s="49">
        <f>(C129)*C112/100</f>
        <v>323.9885241958956</v>
      </c>
      <c r="F112" s="1"/>
    </row>
    <row r="113" spans="1:6" ht="15" customHeight="1">
      <c r="A113" s="106" t="s">
        <v>16</v>
      </c>
      <c r="B113" s="112" t="s">
        <v>84</v>
      </c>
      <c r="C113" s="113">
        <v>5.18</v>
      </c>
      <c r="D113" s="49">
        <f>(C129+D112)*C113/100</f>
        <v>256.19209989496494</v>
      </c>
      <c r="F113" s="1"/>
    </row>
    <row r="114" spans="1:6" ht="15" customHeight="1">
      <c r="A114" s="106" t="s">
        <v>18</v>
      </c>
      <c r="B114" s="112" t="s">
        <v>85</v>
      </c>
      <c r="C114" s="113"/>
      <c r="D114" s="49"/>
      <c r="F114" s="1"/>
    </row>
    <row r="115" spans="1:6" ht="15" customHeight="1">
      <c r="A115" s="106"/>
      <c r="B115" s="112" t="s">
        <v>86</v>
      </c>
      <c r="C115" s="113">
        <f>3+0.65</f>
        <v>3.65</v>
      </c>
      <c r="D115" s="49">
        <f>((C129+D112+D113)/(1-(C115+C117)/100))*C115/100</f>
        <v>207.8516387486212</v>
      </c>
      <c r="F115" s="1"/>
    </row>
    <row r="116" spans="1:6" ht="15" customHeight="1">
      <c r="A116" s="106"/>
      <c r="B116" s="112" t="s">
        <v>87</v>
      </c>
      <c r="C116" s="113"/>
      <c r="D116" s="49"/>
      <c r="F116" s="1"/>
    </row>
    <row r="117" spans="1:6" ht="15" customHeight="1">
      <c r="A117" s="106"/>
      <c r="B117" s="112" t="s">
        <v>88</v>
      </c>
      <c r="C117" s="114">
        <v>5</v>
      </c>
      <c r="D117" s="49">
        <f>((C129+D112+D113)/(1-(C115+C117)/100))*C117/100</f>
        <v>284.72827225838523</v>
      </c>
      <c r="F117" s="1"/>
    </row>
    <row r="118" spans="1:6" ht="15" customHeight="1">
      <c r="A118" s="106"/>
      <c r="B118" s="112" t="s">
        <v>89</v>
      </c>
      <c r="C118" s="113"/>
      <c r="D118" s="49"/>
      <c r="F118" s="1"/>
    </row>
    <row r="119" spans="1:6" ht="15" customHeight="1" thickBot="1">
      <c r="A119" s="115"/>
      <c r="B119" s="100" t="s">
        <v>47</v>
      </c>
      <c r="C119" s="116">
        <f>SUM(C112:C118)</f>
        <v>20.84</v>
      </c>
      <c r="D119" s="50">
        <f>SUM(D112:D118)</f>
        <v>1072.760535097867</v>
      </c>
      <c r="F119" s="1"/>
    </row>
    <row r="120" spans="1:6" ht="15" customHeight="1">
      <c r="A120" s="19"/>
      <c r="B120" s="20"/>
      <c r="C120" s="21"/>
      <c r="D120" s="21"/>
      <c r="F120" s="1"/>
    </row>
    <row r="121" spans="1:4" s="17" customFormat="1" ht="15" customHeight="1">
      <c r="A121" s="172" t="s">
        <v>90</v>
      </c>
      <c r="B121" s="172"/>
      <c r="C121" s="172"/>
      <c r="D121" s="23"/>
    </row>
    <row r="122" spans="1:4" s="17" customFormat="1" ht="15" customHeight="1" thickBot="1">
      <c r="A122" s="1"/>
      <c r="B122" s="23"/>
      <c r="C122" s="1"/>
      <c r="D122" s="1"/>
    </row>
    <row r="123" spans="1:3" s="17" customFormat="1" ht="12.75">
      <c r="A123" s="70"/>
      <c r="B123" s="117" t="s">
        <v>91</v>
      </c>
      <c r="C123" s="118" t="s">
        <v>13</v>
      </c>
    </row>
    <row r="124" spans="1:3" s="17" customFormat="1" ht="15" customHeight="1">
      <c r="A124" s="45" t="s">
        <v>14</v>
      </c>
      <c r="B124" s="112" t="s">
        <v>92</v>
      </c>
      <c r="C124" s="49">
        <f>C34</f>
        <v>2197.776</v>
      </c>
    </row>
    <row r="125" spans="1:3" s="17" customFormat="1" ht="15" customHeight="1">
      <c r="A125" s="45" t="s">
        <v>16</v>
      </c>
      <c r="B125" s="112" t="s">
        <v>93</v>
      </c>
      <c r="C125" s="49">
        <f>C70</f>
        <v>1862.1262479999996</v>
      </c>
    </row>
    <row r="126" spans="1:3" s="17" customFormat="1" ht="15" customHeight="1">
      <c r="A126" s="45" t="s">
        <v>18</v>
      </c>
      <c r="B126" s="112" t="s">
        <v>94</v>
      </c>
      <c r="C126" s="49">
        <f>C80</f>
        <v>146.13898751137776</v>
      </c>
    </row>
    <row r="127" spans="1:3" s="17" customFormat="1" ht="15" customHeight="1">
      <c r="A127" s="45" t="s">
        <v>20</v>
      </c>
      <c r="B127" s="112" t="s">
        <v>63</v>
      </c>
      <c r="C127" s="49">
        <f>C102</f>
        <v>50.133674558460015</v>
      </c>
    </row>
    <row r="128" spans="1:3" s="17" customFormat="1" ht="15" customHeight="1">
      <c r="A128" s="45" t="s">
        <v>22</v>
      </c>
      <c r="B128" s="112" t="s">
        <v>95</v>
      </c>
      <c r="C128" s="49">
        <f>C108</f>
        <v>365.62999999999994</v>
      </c>
    </row>
    <row r="129" spans="1:3" s="17" customFormat="1" ht="15" customHeight="1">
      <c r="A129" s="45"/>
      <c r="B129" s="111" t="s">
        <v>96</v>
      </c>
      <c r="C129" s="119">
        <f>SUM(C124:C128)</f>
        <v>4621.804910069837</v>
      </c>
    </row>
    <row r="130" spans="1:3" s="17" customFormat="1" ht="15" customHeight="1">
      <c r="A130" s="45" t="s">
        <v>23</v>
      </c>
      <c r="B130" s="112" t="s">
        <v>97</v>
      </c>
      <c r="C130" s="49">
        <f>D119</f>
        <v>1072.760535097867</v>
      </c>
    </row>
    <row r="131" spans="1:3" s="17" customFormat="1" ht="12.75">
      <c r="A131" s="45"/>
      <c r="B131" s="95" t="s">
        <v>98</v>
      </c>
      <c r="C131" s="119">
        <f>SUM(C129:C130)</f>
        <v>5694.565445167704</v>
      </c>
    </row>
    <row r="132" spans="1:3" s="17" customFormat="1" ht="15" customHeight="1" thickBot="1">
      <c r="A132" s="42"/>
      <c r="B132" s="120" t="s">
        <v>99</v>
      </c>
      <c r="C132" s="121">
        <f>C131/C34</f>
        <v>2.591058162964608</v>
      </c>
    </row>
    <row r="133" spans="1:5" s="17" customFormat="1" ht="15" customHeight="1">
      <c r="A133" s="1"/>
      <c r="B133" s="23"/>
      <c r="C133" s="1"/>
      <c r="D133" s="1"/>
      <c r="E133" s="1"/>
    </row>
    <row r="134" ht="13.5" thickBot="1"/>
    <row r="135" spans="1:4" ht="12.75">
      <c r="A135" s="22"/>
      <c r="B135" s="174" t="s">
        <v>81</v>
      </c>
      <c r="C135" s="175"/>
      <c r="D135" s="176"/>
    </row>
    <row r="136" spans="1:4" ht="12.75">
      <c r="A136" s="104">
        <v>6</v>
      </c>
      <c r="B136" s="95" t="s">
        <v>82</v>
      </c>
      <c r="C136" s="111" t="s">
        <v>36</v>
      </c>
      <c r="D136" s="96" t="s">
        <v>13</v>
      </c>
    </row>
    <row r="137" spans="1:4" ht="12.75">
      <c r="A137" s="106" t="s">
        <v>14</v>
      </c>
      <c r="B137" s="112" t="s">
        <v>83</v>
      </c>
      <c r="C137" s="113">
        <v>6.88</v>
      </c>
      <c r="D137" s="49">
        <f>(C154)*C137/100</f>
        <v>317.9801778128048</v>
      </c>
    </row>
    <row r="138" spans="1:4" ht="12.75">
      <c r="A138" s="106" t="s">
        <v>16</v>
      </c>
      <c r="B138" s="112" t="s">
        <v>84</v>
      </c>
      <c r="C138" s="113">
        <v>4.49</v>
      </c>
      <c r="D138" s="49">
        <f>(C154+D137)*C138/100</f>
        <v>221.79635044593067</v>
      </c>
    </row>
    <row r="139" spans="1:4" ht="12.75">
      <c r="A139" s="106" t="s">
        <v>18</v>
      </c>
      <c r="B139" s="112" t="s">
        <v>85</v>
      </c>
      <c r="C139" s="113"/>
      <c r="D139" s="49"/>
    </row>
    <row r="140" spans="1:4" ht="12.75">
      <c r="A140" s="106"/>
      <c r="B140" s="112" t="s">
        <v>115</v>
      </c>
      <c r="C140" s="63">
        <f>1.65+7.6</f>
        <v>9.25</v>
      </c>
      <c r="D140" s="49">
        <f>((C154+D137+D138)/(1-(C140+C142)/100))*C140/100</f>
        <v>556.7886682745107</v>
      </c>
    </row>
    <row r="141" spans="1:4" ht="12.75">
      <c r="A141" s="106"/>
      <c r="B141" s="112" t="s">
        <v>87</v>
      </c>
      <c r="C141" s="113"/>
      <c r="D141" s="49"/>
    </row>
    <row r="142" spans="1:4" ht="12.75">
      <c r="A142" s="106"/>
      <c r="B142" s="112" t="s">
        <v>88</v>
      </c>
      <c r="C142" s="114">
        <v>5</v>
      </c>
      <c r="D142" s="49">
        <f>((C154+D137+D138)/(1-(C140+C142)/100))*C142/100</f>
        <v>300.96684771595176</v>
      </c>
    </row>
    <row r="143" spans="1:4" ht="12.75">
      <c r="A143" s="106"/>
      <c r="B143" s="112" t="s">
        <v>89</v>
      </c>
      <c r="C143" s="113"/>
      <c r="D143" s="49"/>
    </row>
    <row r="144" spans="1:4" ht="13.5" thickBot="1">
      <c r="A144" s="115"/>
      <c r="B144" s="100" t="s">
        <v>47</v>
      </c>
      <c r="C144" s="116">
        <f>SUM(C137:C143)</f>
        <v>25.62</v>
      </c>
      <c r="D144" s="50">
        <f>SUM(D137:D143)</f>
        <v>1397.532044249198</v>
      </c>
    </row>
    <row r="145" spans="1:4" ht="12.75">
      <c r="A145" s="68"/>
      <c r="B145" s="68"/>
      <c r="C145" s="68"/>
      <c r="D145" s="68"/>
    </row>
    <row r="146" spans="1:4" ht="12.75">
      <c r="A146" s="168" t="s">
        <v>90</v>
      </c>
      <c r="B146" s="168"/>
      <c r="C146" s="168"/>
      <c r="D146" s="122"/>
    </row>
    <row r="147" spans="1:4" ht="13.5" thickBot="1">
      <c r="A147" s="68"/>
      <c r="B147" s="123"/>
      <c r="C147" s="68"/>
      <c r="D147" s="122"/>
    </row>
    <row r="148" spans="1:4" ht="12.75">
      <c r="A148" s="70"/>
      <c r="B148" s="117" t="s">
        <v>91</v>
      </c>
      <c r="C148" s="118" t="s">
        <v>13</v>
      </c>
      <c r="D148" s="122"/>
    </row>
    <row r="149" spans="1:4" ht="12.75">
      <c r="A149" s="45" t="s">
        <v>14</v>
      </c>
      <c r="B149" s="112" t="s">
        <v>92</v>
      </c>
      <c r="C149" s="49">
        <f>C124</f>
        <v>2197.776</v>
      </c>
      <c r="D149" s="122"/>
    </row>
    <row r="150" spans="1:4" ht="12.75">
      <c r="A150" s="45" t="s">
        <v>16</v>
      </c>
      <c r="B150" s="112" t="s">
        <v>93</v>
      </c>
      <c r="C150" s="49">
        <f>C125</f>
        <v>1862.1262479999996</v>
      </c>
      <c r="D150" s="122"/>
    </row>
    <row r="151" spans="1:4" ht="12.75">
      <c r="A151" s="45" t="s">
        <v>18</v>
      </c>
      <c r="B151" s="112" t="s">
        <v>94</v>
      </c>
      <c r="C151" s="49">
        <f>C126</f>
        <v>146.13898751137776</v>
      </c>
      <c r="D151" s="122"/>
    </row>
    <row r="152" spans="1:4" ht="12.75">
      <c r="A152" s="45" t="s">
        <v>20</v>
      </c>
      <c r="B152" s="112" t="s">
        <v>63</v>
      </c>
      <c r="C152" s="49">
        <f>C127</f>
        <v>50.133674558460015</v>
      </c>
      <c r="D152" s="122"/>
    </row>
    <row r="153" spans="1:4" ht="12.75">
      <c r="A153" s="45" t="s">
        <v>22</v>
      </c>
      <c r="B153" s="112" t="s">
        <v>95</v>
      </c>
      <c r="C153" s="49">
        <f>C128</f>
        <v>365.62999999999994</v>
      </c>
      <c r="D153" s="122"/>
    </row>
    <row r="154" spans="1:4" ht="12.75">
      <c r="A154" s="45"/>
      <c r="B154" s="111" t="s">
        <v>96</v>
      </c>
      <c r="C154" s="119">
        <f>SUM(C149:C153)</f>
        <v>4621.804910069837</v>
      </c>
      <c r="D154" s="122"/>
    </row>
    <row r="155" spans="1:4" ht="12.75">
      <c r="A155" s="45" t="s">
        <v>23</v>
      </c>
      <c r="B155" s="112" t="s">
        <v>97</v>
      </c>
      <c r="C155" s="49">
        <f>D144</f>
        <v>1397.532044249198</v>
      </c>
      <c r="D155" s="122"/>
    </row>
    <row r="156" spans="1:4" ht="12.75">
      <c r="A156" s="45"/>
      <c r="B156" s="95" t="s">
        <v>98</v>
      </c>
      <c r="C156" s="119">
        <f>SUM(C154:C155)</f>
        <v>6019.336954319035</v>
      </c>
      <c r="D156" s="122"/>
    </row>
    <row r="157" spans="1:4" ht="13.5" thickBot="1">
      <c r="A157" s="42"/>
      <c r="B157" s="120" t="s">
        <v>99</v>
      </c>
      <c r="C157" s="121">
        <f>C156/C34</f>
        <v>2.7388309610802173</v>
      </c>
      <c r="D157" s="122"/>
    </row>
  </sheetData>
  <sheetProtection selectLockedCells="1" selectUnlockedCells="1"/>
  <mergeCells count="30">
    <mergeCell ref="B135:D135"/>
    <mergeCell ref="A146:C146"/>
    <mergeCell ref="B36:C36"/>
    <mergeCell ref="B37:C37"/>
    <mergeCell ref="A44:D44"/>
    <mergeCell ref="B93:C93"/>
    <mergeCell ref="B110:D110"/>
    <mergeCell ref="A121:C121"/>
    <mergeCell ref="C15:E15"/>
    <mergeCell ref="C16:E16"/>
    <mergeCell ref="C17:E17"/>
    <mergeCell ref="C18:E18"/>
    <mergeCell ref="A26:C26"/>
    <mergeCell ref="B35:D35"/>
    <mergeCell ref="C19:E19"/>
    <mergeCell ref="C20:E20"/>
    <mergeCell ref="C21:E21"/>
    <mergeCell ref="C22:E22"/>
    <mergeCell ref="B7:E7"/>
    <mergeCell ref="B8:E8"/>
    <mergeCell ref="B10:E10"/>
    <mergeCell ref="C12:E12"/>
    <mergeCell ref="C13:E13"/>
    <mergeCell ref="C14:E14"/>
    <mergeCell ref="B1:E1"/>
    <mergeCell ref="B2:E2"/>
    <mergeCell ref="B3:E3"/>
    <mergeCell ref="B4:E4"/>
    <mergeCell ref="B5:E5"/>
    <mergeCell ref="B6:E6"/>
  </mergeCells>
  <printOptions horizontalCentered="1" verticalCentered="1"/>
  <pageMargins left="0" right="0" top="0.9491666666666667" bottom="0.5905511811023623" header="0.5511811023622047" footer="0.35433070866141736"/>
  <pageSetup firstPageNumber="1" useFirstPageNumber="1" horizontalDpi="600" verticalDpi="600" orientation="portrait" paperSize="9" scale="85" r:id="rId3"/>
  <headerFooter alignWithMargins="0">
    <oddHeader xml:space="preserve">&amp;C&amp;"-,Regular"&amp;9PROCESSO 23069.154415/2020-65
PREGÃO ELETRÔNICO XXX/2020    </oddHeader>
    <oddFooter xml:space="preserve">&amp;L&amp;"-,Regular"&amp;9ANEXO IV-A3  </oddFooter>
  </headerFooter>
  <rowBreaks count="2" manualBreakCount="2">
    <brk id="56" max="5" man="1"/>
    <brk id="109" max="5" man="1"/>
  </rowBreaks>
  <colBreaks count="1" manualBreakCount="1">
    <brk id="7" max="15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7"/>
  <sheetViews>
    <sheetView zoomScaleSheetLayoutView="100" workbookViewId="0" topLeftCell="A43">
      <selection activeCell="B55" sqref="B55"/>
    </sheetView>
  </sheetViews>
  <sheetFormatPr defaultColWidth="11.421875" defaultRowHeight="12.75"/>
  <cols>
    <col min="1" max="1" width="5.140625" style="1" customWidth="1"/>
    <col min="2" max="2" width="57.57421875" style="1" customWidth="1"/>
    <col min="3" max="3" width="16.7109375" style="1" customWidth="1"/>
    <col min="4" max="4" width="10.7109375" style="1" bestFit="1" customWidth="1"/>
    <col min="5" max="5" width="6.7109375" style="1" bestFit="1" customWidth="1"/>
    <col min="6" max="6" width="7.7109375" style="2" bestFit="1" customWidth="1"/>
    <col min="7" max="7" width="11.421875" style="1" customWidth="1"/>
    <col min="8" max="8" width="46.00390625" style="1" customWidth="1"/>
    <col min="9" max="9" width="17.00390625" style="1" customWidth="1"/>
    <col min="10" max="10" width="14.28125" style="1" customWidth="1"/>
    <col min="11" max="16384" width="11.421875" style="1" customWidth="1"/>
  </cols>
  <sheetData>
    <row r="1" spans="2:5" ht="12.75">
      <c r="B1" s="151" t="s">
        <v>0</v>
      </c>
      <c r="C1" s="151"/>
      <c r="D1" s="151"/>
      <c r="E1" s="151"/>
    </row>
    <row r="2" spans="2:5" ht="12.75">
      <c r="B2" s="152" t="s">
        <v>1</v>
      </c>
      <c r="C2" s="152"/>
      <c r="D2" s="152"/>
      <c r="E2" s="152"/>
    </row>
    <row r="3" spans="2:5" ht="12.75">
      <c r="B3" s="152" t="s">
        <v>2</v>
      </c>
      <c r="C3" s="152"/>
      <c r="D3" s="152"/>
      <c r="E3" s="152"/>
    </row>
    <row r="4" spans="2:5" ht="12.75">
      <c r="B4" s="153" t="s">
        <v>170</v>
      </c>
      <c r="C4" s="153"/>
      <c r="D4" s="153"/>
      <c r="E4" s="153"/>
    </row>
    <row r="5" spans="2:5" ht="24" customHeight="1">
      <c r="B5" s="154" t="s">
        <v>3</v>
      </c>
      <c r="C5" s="154"/>
      <c r="D5" s="154"/>
      <c r="E5" s="154"/>
    </row>
    <row r="6" spans="2:5" ht="12.75">
      <c r="B6" s="155" t="s">
        <v>128</v>
      </c>
      <c r="C6" s="155"/>
      <c r="D6" s="155"/>
      <c r="E6" s="155"/>
    </row>
    <row r="7" spans="2:5" ht="12.75">
      <c r="B7" s="153" t="s">
        <v>127</v>
      </c>
      <c r="C7" s="153"/>
      <c r="D7" s="153"/>
      <c r="E7" s="153"/>
    </row>
    <row r="8" spans="2:5" ht="12.75">
      <c r="B8" s="156" t="s">
        <v>112</v>
      </c>
      <c r="C8" s="156"/>
      <c r="D8" s="156"/>
      <c r="E8" s="156"/>
    </row>
    <row r="9" ht="12.75"/>
    <row r="10" spans="1:5" s="2" customFormat="1" ht="12.75">
      <c r="A10" s="1"/>
      <c r="B10" s="157" t="s">
        <v>4</v>
      </c>
      <c r="C10" s="157"/>
      <c r="D10" s="157"/>
      <c r="E10" s="157"/>
    </row>
    <row r="11" spans="1:5" s="2" customFormat="1" ht="17.25" customHeight="1" thickBot="1">
      <c r="A11" s="1"/>
      <c r="B11" s="3" t="s">
        <v>5</v>
      </c>
      <c r="C11" s="4"/>
      <c r="D11" s="4"/>
      <c r="E11" s="4"/>
    </row>
    <row r="12" spans="1:5" s="2" customFormat="1" ht="15.75" customHeight="1">
      <c r="A12" s="1"/>
      <c r="B12" s="198" t="s">
        <v>6</v>
      </c>
      <c r="C12" s="214" t="s">
        <v>139</v>
      </c>
      <c r="D12" s="214"/>
      <c r="E12" s="215"/>
    </row>
    <row r="13" spans="1:5" s="2" customFormat="1" ht="15.75" customHeight="1">
      <c r="A13" s="1"/>
      <c r="B13" s="201" t="s">
        <v>7</v>
      </c>
      <c r="C13" s="158">
        <v>20.88</v>
      </c>
      <c r="D13" s="158"/>
      <c r="E13" s="202"/>
    </row>
    <row r="14" spans="1:5" s="2" customFormat="1" ht="15.75" customHeight="1">
      <c r="A14" s="1"/>
      <c r="B14" s="203" t="s">
        <v>8</v>
      </c>
      <c r="C14" s="159" t="s">
        <v>140</v>
      </c>
      <c r="D14" s="160"/>
      <c r="E14" s="204"/>
    </row>
    <row r="15" spans="1:5" s="2" customFormat="1" ht="15.75" customHeight="1">
      <c r="A15" s="1"/>
      <c r="B15" s="201" t="s">
        <v>9</v>
      </c>
      <c r="C15" s="161">
        <v>1239</v>
      </c>
      <c r="D15" s="161"/>
      <c r="E15" s="205"/>
    </row>
    <row r="16" spans="1:5" s="2" customFormat="1" ht="15.75" customHeight="1">
      <c r="A16" s="1"/>
      <c r="B16" s="206" t="s">
        <v>10</v>
      </c>
      <c r="C16" s="158" t="s">
        <v>138</v>
      </c>
      <c r="D16" s="158"/>
      <c r="E16" s="202"/>
    </row>
    <row r="17" spans="1:5" s="2" customFormat="1" ht="15.75" customHeight="1">
      <c r="A17" s="1"/>
      <c r="B17" s="207" t="s">
        <v>119</v>
      </c>
      <c r="C17" s="162">
        <v>2</v>
      </c>
      <c r="D17" s="163"/>
      <c r="E17" s="208"/>
    </row>
    <row r="18" spans="1:5" s="2" customFormat="1" ht="15.75" customHeight="1">
      <c r="A18" s="1"/>
      <c r="B18" s="209" t="s">
        <v>163</v>
      </c>
      <c r="C18" s="196"/>
      <c r="D18" s="196"/>
      <c r="E18" s="210"/>
    </row>
    <row r="19" spans="1:5" s="2" customFormat="1" ht="15.75" customHeight="1">
      <c r="A19" s="1"/>
      <c r="B19" s="209" t="s">
        <v>164</v>
      </c>
      <c r="C19" s="196"/>
      <c r="D19" s="196"/>
      <c r="E19" s="210"/>
    </row>
    <row r="20" spans="1:5" s="2" customFormat="1" ht="15.75" customHeight="1">
      <c r="A20" s="1"/>
      <c r="B20" s="209" t="s">
        <v>165</v>
      </c>
      <c r="C20" s="196"/>
      <c r="D20" s="196"/>
      <c r="E20" s="210"/>
    </row>
    <row r="21" spans="1:5" s="2" customFormat="1" ht="15.75" customHeight="1">
      <c r="A21" s="1"/>
      <c r="B21" s="209" t="s">
        <v>166</v>
      </c>
      <c r="C21" s="196"/>
      <c r="D21" s="196"/>
      <c r="E21" s="210"/>
    </row>
    <row r="22" spans="1:5" s="2" customFormat="1" ht="15.75" customHeight="1" thickBot="1">
      <c r="A22" s="1"/>
      <c r="B22" s="211" t="s">
        <v>167</v>
      </c>
      <c r="C22" s="212"/>
      <c r="D22" s="212"/>
      <c r="E22" s="213"/>
    </row>
    <row r="23" spans="1:5" s="2" customFormat="1" ht="15.75" customHeight="1">
      <c r="A23" s="1"/>
      <c r="B23" s="187"/>
      <c r="C23" s="188"/>
      <c r="D23" s="188"/>
      <c r="E23" s="188"/>
    </row>
    <row r="24" spans="1:3" s="2" customFormat="1" ht="15.75" customHeight="1">
      <c r="A24" s="1"/>
      <c r="B24" s="1"/>
      <c r="C24" s="10"/>
    </row>
    <row r="25" spans="1:2" s="2" customFormat="1" ht="12" customHeight="1" thickBot="1">
      <c r="A25" s="1"/>
      <c r="B25" s="1"/>
    </row>
    <row r="26" spans="1:3" s="2" customFormat="1" ht="15.75" customHeight="1">
      <c r="A26" s="165" t="s">
        <v>11</v>
      </c>
      <c r="B26" s="165"/>
      <c r="C26" s="165"/>
    </row>
    <row r="27" spans="1:3" s="2" customFormat="1" ht="15.75" customHeight="1">
      <c r="A27" s="32">
        <v>1</v>
      </c>
      <c r="B27" s="33" t="s">
        <v>12</v>
      </c>
      <c r="C27" s="34" t="s">
        <v>13</v>
      </c>
    </row>
    <row r="28" spans="1:3" s="2" customFormat="1" ht="15.75" customHeight="1">
      <c r="A28" s="35" t="s">
        <v>14</v>
      </c>
      <c r="B28" s="36" t="s">
        <v>15</v>
      </c>
      <c r="C28" s="37">
        <f>C15</f>
        <v>1239</v>
      </c>
    </row>
    <row r="29" spans="1:3" s="2" customFormat="1" ht="15.75" customHeight="1">
      <c r="A29" s="35" t="s">
        <v>16</v>
      </c>
      <c r="B29" s="36" t="s">
        <v>17</v>
      </c>
      <c r="C29" s="38"/>
    </row>
    <row r="30" spans="1:6" ht="15.75" customHeight="1">
      <c r="A30" s="35" t="s">
        <v>18</v>
      </c>
      <c r="B30" s="36" t="s">
        <v>19</v>
      </c>
      <c r="C30" s="38">
        <f>20%*C15</f>
        <v>247.8</v>
      </c>
      <c r="D30" s="2"/>
      <c r="F30" s="1"/>
    </row>
    <row r="31" spans="1:6" ht="15.75" customHeight="1">
      <c r="A31" s="35" t="s">
        <v>20</v>
      </c>
      <c r="B31" s="39" t="s">
        <v>21</v>
      </c>
      <c r="C31" s="38"/>
      <c r="D31" s="2"/>
      <c r="F31" s="1"/>
    </row>
    <row r="32" spans="1:6" ht="15.75" customHeight="1">
      <c r="A32" s="35" t="s">
        <v>22</v>
      </c>
      <c r="B32" s="39" t="s">
        <v>101</v>
      </c>
      <c r="C32" s="38"/>
      <c r="D32" s="2"/>
      <c r="F32" s="1"/>
    </row>
    <row r="33" spans="1:6" ht="15.75" customHeight="1">
      <c r="A33" s="35" t="s">
        <v>23</v>
      </c>
      <c r="B33" s="40" t="s">
        <v>113</v>
      </c>
      <c r="C33" s="41"/>
      <c r="D33" s="2"/>
      <c r="F33" s="1"/>
    </row>
    <row r="34" spans="1:6" ht="15.75" customHeight="1" thickBot="1">
      <c r="A34" s="42"/>
      <c r="B34" s="43" t="s">
        <v>24</v>
      </c>
      <c r="C34" s="44">
        <f>SUM(C28:C33)</f>
        <v>1486.8</v>
      </c>
      <c r="D34" s="2"/>
      <c r="F34" s="1"/>
    </row>
    <row r="35" spans="2:6" ht="15.75" customHeight="1" thickBot="1">
      <c r="B35" s="166"/>
      <c r="C35" s="166"/>
      <c r="D35" s="166"/>
      <c r="E35" s="2"/>
      <c r="F35" s="1"/>
    </row>
    <row r="36" spans="1:6" ht="15.75" customHeight="1">
      <c r="A36" s="5"/>
      <c r="B36" s="167" t="s">
        <v>25</v>
      </c>
      <c r="C36" s="167"/>
      <c r="D36" s="2"/>
      <c r="F36" s="1"/>
    </row>
    <row r="37" spans="1:6" ht="15.75" customHeight="1">
      <c r="A37" s="45"/>
      <c r="B37" s="169" t="s">
        <v>26</v>
      </c>
      <c r="C37" s="169"/>
      <c r="D37" s="2"/>
      <c r="F37" s="1"/>
    </row>
    <row r="38" spans="1:6" ht="15.75" customHeight="1">
      <c r="A38" s="32" t="s">
        <v>27</v>
      </c>
      <c r="B38" s="48" t="s">
        <v>28</v>
      </c>
      <c r="C38" s="34" t="s">
        <v>29</v>
      </c>
      <c r="D38" s="2"/>
      <c r="F38" s="1"/>
    </row>
    <row r="39" spans="1:6" ht="15.75" customHeight="1">
      <c r="A39" s="35" t="s">
        <v>14</v>
      </c>
      <c r="B39" s="46" t="s">
        <v>30</v>
      </c>
      <c r="C39" s="49">
        <f>C34*8.33%</f>
        <v>123.85043999999999</v>
      </c>
      <c r="D39" s="2"/>
      <c r="F39" s="1"/>
    </row>
    <row r="40" spans="1:6" ht="15.75" customHeight="1">
      <c r="A40" s="35" t="s">
        <v>16</v>
      </c>
      <c r="B40" s="46" t="s">
        <v>31</v>
      </c>
      <c r="C40" s="49">
        <f>C34*12.1%</f>
        <v>179.90279999999998</v>
      </c>
      <c r="D40" s="132"/>
      <c r="F40" s="1"/>
    </row>
    <row r="41" spans="1:6" ht="15.75" customHeight="1">
      <c r="A41" s="127"/>
      <c r="B41" s="130" t="s">
        <v>32</v>
      </c>
      <c r="C41" s="125">
        <f>SUM(C39:C40)</f>
        <v>303.75324</v>
      </c>
      <c r="D41" s="30"/>
      <c r="F41" s="1"/>
    </row>
    <row r="42" spans="1:6" ht="35.25" customHeight="1">
      <c r="A42" s="128" t="s">
        <v>18</v>
      </c>
      <c r="B42" s="131" t="s">
        <v>118</v>
      </c>
      <c r="C42" s="129">
        <f>C34*7.82%</f>
        <v>116.26776000000001</v>
      </c>
      <c r="D42" s="30"/>
      <c r="F42" s="1"/>
    </row>
    <row r="43" spans="5:6" ht="15.75" customHeight="1" thickBot="1">
      <c r="E43" s="2"/>
      <c r="F43" s="1"/>
    </row>
    <row r="44" spans="1:6" ht="24.75" customHeight="1" thickBot="1">
      <c r="A44" s="170" t="s">
        <v>33</v>
      </c>
      <c r="B44" s="170"/>
      <c r="C44" s="170"/>
      <c r="D44" s="170"/>
      <c r="E44" s="2"/>
      <c r="F44" s="1"/>
    </row>
    <row r="45" spans="1:6" ht="13.5" customHeight="1" thickBot="1">
      <c r="A45" s="51" t="s">
        <v>34</v>
      </c>
      <c r="B45" s="52" t="s">
        <v>35</v>
      </c>
      <c r="C45" s="53" t="s">
        <v>36</v>
      </c>
      <c r="D45" s="54" t="s">
        <v>13</v>
      </c>
      <c r="E45" s="2"/>
      <c r="F45" s="1"/>
    </row>
    <row r="46" spans="1:6" ht="14.25" customHeight="1">
      <c r="A46" s="55" t="s">
        <v>14</v>
      </c>
      <c r="B46" s="56" t="s">
        <v>37</v>
      </c>
      <c r="C46" s="57">
        <v>20</v>
      </c>
      <c r="D46" s="58">
        <f>(C34*(C46/100))</f>
        <v>297.36</v>
      </c>
      <c r="E46" s="2"/>
      <c r="F46" s="1"/>
    </row>
    <row r="47" spans="1:6" ht="14.25" customHeight="1">
      <c r="A47" s="55" t="s">
        <v>16</v>
      </c>
      <c r="B47" s="59" t="s">
        <v>38</v>
      </c>
      <c r="C47" s="60">
        <v>2.5</v>
      </c>
      <c r="D47" s="61">
        <f>(C34*(C47/100))</f>
        <v>37.17</v>
      </c>
      <c r="E47" s="2"/>
      <c r="F47" s="1"/>
    </row>
    <row r="48" spans="1:6" ht="14.25" customHeight="1">
      <c r="A48" s="55" t="s">
        <v>18</v>
      </c>
      <c r="B48" s="62" t="s">
        <v>39</v>
      </c>
      <c r="C48" s="63">
        <v>6</v>
      </c>
      <c r="D48" s="49">
        <f aca="true" t="shared" si="0" ref="D48:D53">($C$34*(C48/100))</f>
        <v>89.208</v>
      </c>
      <c r="E48" s="2"/>
      <c r="F48" s="1"/>
    </row>
    <row r="49" spans="1:6" ht="14.25" customHeight="1">
      <c r="A49" s="55" t="s">
        <v>20</v>
      </c>
      <c r="B49" s="59" t="s">
        <v>40</v>
      </c>
      <c r="C49" s="60">
        <v>1.5</v>
      </c>
      <c r="D49" s="61">
        <f t="shared" si="0"/>
        <v>22.302</v>
      </c>
      <c r="E49" s="2"/>
      <c r="F49" s="1"/>
    </row>
    <row r="50" spans="1:6" ht="14.25" customHeight="1">
      <c r="A50" s="55" t="s">
        <v>22</v>
      </c>
      <c r="B50" s="59" t="s">
        <v>41</v>
      </c>
      <c r="C50" s="60">
        <v>1</v>
      </c>
      <c r="D50" s="61">
        <f t="shared" si="0"/>
        <v>14.868</v>
      </c>
      <c r="E50" s="2"/>
      <c r="F50" s="1"/>
    </row>
    <row r="51" spans="1:6" ht="14.25" customHeight="1">
      <c r="A51" s="55" t="s">
        <v>23</v>
      </c>
      <c r="B51" s="59" t="s">
        <v>42</v>
      </c>
      <c r="C51" s="60">
        <v>0.6000000000000001</v>
      </c>
      <c r="D51" s="61">
        <f t="shared" si="0"/>
        <v>8.920800000000002</v>
      </c>
      <c r="E51" s="2"/>
      <c r="F51" s="1"/>
    </row>
    <row r="52" spans="1:6" ht="14.25" customHeight="1">
      <c r="A52" s="55" t="s">
        <v>43</v>
      </c>
      <c r="B52" s="59" t="s">
        <v>44</v>
      </c>
      <c r="C52" s="60">
        <v>0.2</v>
      </c>
      <c r="D52" s="61">
        <f t="shared" si="0"/>
        <v>2.9736</v>
      </c>
      <c r="E52" s="2"/>
      <c r="F52" s="1"/>
    </row>
    <row r="53" spans="1:6" ht="14.25" customHeight="1">
      <c r="A53" s="55" t="s">
        <v>45</v>
      </c>
      <c r="B53" s="62" t="s">
        <v>46</v>
      </c>
      <c r="C53" s="63">
        <v>8</v>
      </c>
      <c r="D53" s="49">
        <f t="shared" si="0"/>
        <v>118.944</v>
      </c>
      <c r="E53" s="2"/>
      <c r="F53" s="1"/>
    </row>
    <row r="54" spans="1:6" ht="14.25" customHeight="1" thickBot="1">
      <c r="A54" s="64"/>
      <c r="B54" s="65" t="s">
        <v>47</v>
      </c>
      <c r="C54" s="66">
        <f>SUM(C46:C53)</f>
        <v>39.8</v>
      </c>
      <c r="D54" s="67">
        <f>SUM(D46:D53)</f>
        <v>591.7464</v>
      </c>
      <c r="E54" s="2"/>
      <c r="F54" s="1"/>
    </row>
    <row r="55" spans="1:6" ht="14.25" customHeight="1">
      <c r="A55" s="68"/>
      <c r="B55" s="69" t="s">
        <v>48</v>
      </c>
      <c r="C55" s="68"/>
      <c r="D55" s="68"/>
      <c r="E55" s="2"/>
      <c r="F55" s="1"/>
    </row>
    <row r="56" spans="1:6" ht="14.25" customHeight="1" thickBot="1">
      <c r="A56" s="68"/>
      <c r="B56" s="69"/>
      <c r="C56" s="68"/>
      <c r="D56" s="68"/>
      <c r="E56" s="2"/>
      <c r="F56" s="1"/>
    </row>
    <row r="57" spans="1:6" ht="14.25" customHeight="1">
      <c r="A57" s="70"/>
      <c r="B57" s="71" t="s">
        <v>49</v>
      </c>
      <c r="C57" s="72"/>
      <c r="D57" s="2"/>
      <c r="F57" s="1"/>
    </row>
    <row r="58" spans="1:6" ht="14.25" customHeight="1">
      <c r="A58" s="32" t="s">
        <v>50</v>
      </c>
      <c r="B58" s="33" t="s">
        <v>51</v>
      </c>
      <c r="C58" s="34" t="s">
        <v>13</v>
      </c>
      <c r="D58" s="2"/>
      <c r="F58" s="1"/>
    </row>
    <row r="59" spans="1:6" ht="14.25" customHeight="1">
      <c r="A59" s="35" t="s">
        <v>14</v>
      </c>
      <c r="B59" s="73" t="s">
        <v>52</v>
      </c>
      <c r="C59" s="38">
        <f>((4.05*2*C13)-(C15*6%))</f>
        <v>94.78799999999998</v>
      </c>
      <c r="D59" s="2"/>
      <c r="F59" s="1"/>
    </row>
    <row r="60" spans="1:6" ht="14.25" customHeight="1">
      <c r="A60" s="35" t="s">
        <v>16</v>
      </c>
      <c r="B60" s="36" t="s">
        <v>120</v>
      </c>
      <c r="C60" s="38">
        <f>((18*20.88)-(18*20.88*10%))</f>
        <v>338.256</v>
      </c>
      <c r="D60" s="2"/>
      <c r="F60" s="1"/>
    </row>
    <row r="61" spans="1:6" ht="14.25" customHeight="1">
      <c r="A61" s="35" t="s">
        <v>18</v>
      </c>
      <c r="B61" s="36" t="s">
        <v>121</v>
      </c>
      <c r="C61" s="38">
        <v>13</v>
      </c>
      <c r="D61" s="2"/>
      <c r="F61" s="1"/>
    </row>
    <row r="62" spans="1:6" ht="14.25" customHeight="1">
      <c r="A62" s="35" t="s">
        <v>20</v>
      </c>
      <c r="B62" s="36" t="s">
        <v>113</v>
      </c>
      <c r="C62" s="38">
        <v>0</v>
      </c>
      <c r="D62" s="2"/>
      <c r="F62" s="1"/>
    </row>
    <row r="63" spans="1:6" ht="14.25" customHeight="1" thickBot="1">
      <c r="A63" s="42"/>
      <c r="B63" s="43" t="s">
        <v>53</v>
      </c>
      <c r="C63" s="44">
        <f>SUM(C59:C62)</f>
        <v>446.044</v>
      </c>
      <c r="D63" s="2"/>
      <c r="F63" s="1"/>
    </row>
    <row r="64" spans="1:6" ht="14.25" customHeight="1" thickBot="1">
      <c r="A64" s="68"/>
      <c r="B64" s="74"/>
      <c r="C64" s="75"/>
      <c r="D64" s="11"/>
      <c r="E64" s="2"/>
      <c r="F64" s="1"/>
    </row>
    <row r="65" spans="1:6" ht="14.25" customHeight="1">
      <c r="A65" s="70"/>
      <c r="B65" s="76" t="s">
        <v>54</v>
      </c>
      <c r="C65" s="77"/>
      <c r="D65" s="2"/>
      <c r="F65" s="1"/>
    </row>
    <row r="66" spans="1:6" ht="14.25" customHeight="1">
      <c r="A66" s="35">
        <v>2</v>
      </c>
      <c r="B66" s="78" t="s">
        <v>55</v>
      </c>
      <c r="C66" s="79" t="s">
        <v>29</v>
      </c>
      <c r="D66" s="2"/>
      <c r="F66" s="1"/>
    </row>
    <row r="67" spans="1:6" ht="14.25" customHeight="1">
      <c r="A67" s="35" t="s">
        <v>27</v>
      </c>
      <c r="B67" s="36" t="s">
        <v>28</v>
      </c>
      <c r="C67" s="37">
        <f>C41</f>
        <v>303.75324</v>
      </c>
      <c r="D67" s="2"/>
      <c r="F67" s="1"/>
    </row>
    <row r="68" spans="1:6" ht="14.25" customHeight="1">
      <c r="A68" s="35" t="s">
        <v>34</v>
      </c>
      <c r="B68" s="36" t="s">
        <v>35</v>
      </c>
      <c r="C68" s="37">
        <f>D54+C42</f>
        <v>708.01416</v>
      </c>
      <c r="D68" s="2"/>
      <c r="F68" s="1"/>
    </row>
    <row r="69" spans="1:6" ht="14.25" customHeight="1">
      <c r="A69" s="35" t="s">
        <v>50</v>
      </c>
      <c r="B69" s="36" t="s">
        <v>51</v>
      </c>
      <c r="C69" s="37">
        <f>C63</f>
        <v>446.044</v>
      </c>
      <c r="D69" s="2"/>
      <c r="F69" s="1"/>
    </row>
    <row r="70" spans="1:6" ht="14.25" customHeight="1" thickBot="1">
      <c r="A70" s="42"/>
      <c r="B70" s="80" t="s">
        <v>32</v>
      </c>
      <c r="C70" s="81">
        <f>SUM(C67:C69)</f>
        <v>1457.8114</v>
      </c>
      <c r="D70" s="2"/>
      <c r="F70" s="1"/>
    </row>
    <row r="71" spans="2:6" ht="14.25" customHeight="1" thickBot="1">
      <c r="B71" s="13"/>
      <c r="C71" s="11"/>
      <c r="D71" s="11"/>
      <c r="E71" s="2"/>
      <c r="F71" s="1"/>
    </row>
    <row r="72" spans="1:6" ht="14.25" customHeight="1">
      <c r="A72" s="83"/>
      <c r="B72" s="84" t="s">
        <v>117</v>
      </c>
      <c r="C72" s="85"/>
      <c r="D72" s="2"/>
      <c r="F72" s="1"/>
    </row>
    <row r="73" spans="1:6" ht="14.25" customHeight="1">
      <c r="A73" s="86">
        <v>3</v>
      </c>
      <c r="B73" s="87" t="s">
        <v>56</v>
      </c>
      <c r="C73" s="88" t="s">
        <v>13</v>
      </c>
      <c r="D73" s="2"/>
      <c r="F73" s="1"/>
    </row>
    <row r="74" spans="1:6" ht="14.25" customHeight="1">
      <c r="A74" s="89" t="s">
        <v>14</v>
      </c>
      <c r="B74" s="90" t="s">
        <v>57</v>
      </c>
      <c r="C74" s="126">
        <f>((C34+C39+C40)/12)*5%</f>
        <v>7.460638500000001</v>
      </c>
      <c r="D74" s="2"/>
      <c r="F74" s="1"/>
    </row>
    <row r="75" spans="1:6" ht="14.25" customHeight="1">
      <c r="A75" s="89" t="s">
        <v>16</v>
      </c>
      <c r="B75" s="90" t="s">
        <v>58</v>
      </c>
      <c r="C75" s="91">
        <f>((C34+C39)/12)*5%*8%</f>
        <v>0.53688348</v>
      </c>
      <c r="D75" s="2"/>
      <c r="F75" s="1"/>
    </row>
    <row r="76" spans="1:6" ht="14.25" customHeight="1">
      <c r="A76" s="89" t="s">
        <v>18</v>
      </c>
      <c r="B76" s="90" t="s">
        <v>59</v>
      </c>
      <c r="C76" s="91">
        <v>0</v>
      </c>
      <c r="D76" s="2"/>
      <c r="F76" s="1"/>
    </row>
    <row r="77" spans="1:6" ht="14.25" customHeight="1">
      <c r="A77" s="89" t="s">
        <v>20</v>
      </c>
      <c r="B77" s="90" t="s">
        <v>60</v>
      </c>
      <c r="C77" s="91">
        <f>(((C34+C61)/30/12)*7)</f>
        <v>29.16277777777778</v>
      </c>
      <c r="D77" s="2"/>
      <c r="F77" s="1"/>
    </row>
    <row r="78" spans="1:6" ht="22.5">
      <c r="A78" s="89" t="s">
        <v>22</v>
      </c>
      <c r="B78" s="90" t="s">
        <v>61</v>
      </c>
      <c r="C78" s="92">
        <f>(C34/30/12*7)*8%</f>
        <v>2.3128</v>
      </c>
      <c r="D78" s="2"/>
      <c r="F78" s="1"/>
    </row>
    <row r="79" spans="1:6" ht="14.25" customHeight="1">
      <c r="A79" s="89" t="s">
        <v>23</v>
      </c>
      <c r="B79" s="90" t="s">
        <v>62</v>
      </c>
      <c r="C79" s="91">
        <f>C34*4%</f>
        <v>59.472</v>
      </c>
      <c r="D79" s="2"/>
      <c r="F79" s="1"/>
    </row>
    <row r="80" spans="1:6" ht="14.25" customHeight="1">
      <c r="A80" s="93"/>
      <c r="B80" s="87" t="s">
        <v>47</v>
      </c>
      <c r="C80" s="94">
        <f>SUM(C74:C79)</f>
        <v>98.94509975777778</v>
      </c>
      <c r="D80" s="2"/>
      <c r="F80" s="1"/>
    </row>
    <row r="81" spans="5:6" ht="14.25" customHeight="1" thickBot="1">
      <c r="E81" s="2"/>
      <c r="F81" s="1"/>
    </row>
    <row r="82" spans="1:6" ht="14.25" customHeight="1">
      <c r="A82" s="5"/>
      <c r="B82" s="82" t="s">
        <v>116</v>
      </c>
      <c r="C82" s="14"/>
      <c r="D82" s="31"/>
      <c r="F82" s="1"/>
    </row>
    <row r="83" spans="1:6" ht="14.25" customHeight="1">
      <c r="A83" s="45"/>
      <c r="B83" s="78" t="s">
        <v>64</v>
      </c>
      <c r="C83" s="34"/>
      <c r="D83" s="2"/>
      <c r="F83" s="1"/>
    </row>
    <row r="84" spans="1:6" ht="14.25" customHeight="1">
      <c r="A84" s="32" t="s">
        <v>65</v>
      </c>
      <c r="B84" s="95" t="s">
        <v>66</v>
      </c>
      <c r="C84" s="96" t="s">
        <v>13</v>
      </c>
      <c r="D84" s="2"/>
      <c r="F84" s="1"/>
    </row>
    <row r="85" spans="1:6" ht="14.25" customHeight="1">
      <c r="A85" s="35" t="s">
        <v>14</v>
      </c>
      <c r="B85" s="97" t="s">
        <v>67</v>
      </c>
      <c r="C85" s="98">
        <v>0</v>
      </c>
      <c r="D85" s="2"/>
      <c r="F85" s="1"/>
    </row>
    <row r="86" spans="1:6" ht="14.25" customHeight="1">
      <c r="A86" s="35" t="s">
        <v>16</v>
      </c>
      <c r="B86" s="97" t="s">
        <v>109</v>
      </c>
      <c r="C86" s="98">
        <f>(((C34+C70+C80+C89+C108)-(C59-C60-C107))/30*2.96)/12</f>
        <v>30.10209458349141</v>
      </c>
      <c r="D86" s="2"/>
      <c r="F86" s="1"/>
    </row>
    <row r="87" spans="1:6" ht="14.25" customHeight="1">
      <c r="A87" s="35" t="s">
        <v>18</v>
      </c>
      <c r="B87" s="97" t="s">
        <v>110</v>
      </c>
      <c r="C87" s="98">
        <f>(((C34+C70+C80+C89+C108)-(C59-C60-C107))/30*5*1.5%)/12</f>
        <v>0.7627219911357622</v>
      </c>
      <c r="D87" s="2"/>
      <c r="F87" s="1"/>
    </row>
    <row r="88" spans="1:6" ht="14.25" customHeight="1">
      <c r="A88" s="35" t="s">
        <v>20</v>
      </c>
      <c r="B88" s="97" t="s">
        <v>111</v>
      </c>
      <c r="C88" s="98">
        <f>(((C34+C70+C80+C89+C108)-(C59-C60-C107))/30*15*0.78%)/12</f>
        <v>1.189846306171789</v>
      </c>
      <c r="D88" s="2"/>
      <c r="F88" s="1"/>
    </row>
    <row r="89" spans="1:6" ht="14.25" customHeight="1">
      <c r="A89" s="35" t="s">
        <v>22</v>
      </c>
      <c r="B89" s="97" t="s">
        <v>114</v>
      </c>
      <c r="C89" s="98">
        <f>(((C40*3.95/12)+(C61*3.95*0.0865%))/12+((C34+C39)*39.8%*3.95)*0.0865%/12)</f>
        <v>5.1210576938805215</v>
      </c>
      <c r="D89" s="30"/>
      <c r="F89" s="1"/>
    </row>
    <row r="90" spans="1:6" ht="14.25" customHeight="1">
      <c r="A90" s="35" t="s">
        <v>23</v>
      </c>
      <c r="B90" s="99" t="s">
        <v>68</v>
      </c>
      <c r="C90" s="98">
        <v>0</v>
      </c>
      <c r="D90" s="2"/>
      <c r="F90" s="1"/>
    </row>
    <row r="91" spans="1:6" ht="14.25" customHeight="1" thickBot="1">
      <c r="A91" s="42"/>
      <c r="B91" s="100" t="s">
        <v>47</v>
      </c>
      <c r="C91" s="50">
        <f>SUM(C85:C90)</f>
        <v>37.17572057467949</v>
      </c>
      <c r="D91" s="2"/>
      <c r="F91" s="1"/>
    </row>
    <row r="92" spans="1:6" ht="14.25" customHeight="1" thickBot="1">
      <c r="A92" s="68"/>
      <c r="B92" s="68"/>
      <c r="C92" s="68"/>
      <c r="E92" s="2"/>
      <c r="F92" s="1"/>
    </row>
    <row r="93" spans="1:6" ht="14.25" customHeight="1">
      <c r="A93" s="101"/>
      <c r="B93" s="171" t="s">
        <v>69</v>
      </c>
      <c r="C93" s="171"/>
      <c r="D93" s="2"/>
      <c r="F93" s="1"/>
    </row>
    <row r="94" spans="1:6" ht="14.25" customHeight="1">
      <c r="A94" s="32" t="s">
        <v>70</v>
      </c>
      <c r="B94" s="95" t="s">
        <v>71</v>
      </c>
      <c r="C94" s="96" t="s">
        <v>13</v>
      </c>
      <c r="D94" s="2"/>
      <c r="F94" s="1"/>
    </row>
    <row r="95" spans="1:6" ht="14.25" customHeight="1">
      <c r="A95" s="35" t="s">
        <v>14</v>
      </c>
      <c r="B95" s="102" t="s">
        <v>72</v>
      </c>
      <c r="C95" s="124">
        <v>0</v>
      </c>
      <c r="D95" s="2"/>
      <c r="F95" s="1"/>
    </row>
    <row r="96" spans="1:6" ht="14.25" customHeight="1" thickBot="1">
      <c r="A96" s="47"/>
      <c r="B96" s="100" t="s">
        <v>47</v>
      </c>
      <c r="C96" s="103">
        <v>0</v>
      </c>
      <c r="D96" s="15"/>
      <c r="F96" s="1"/>
    </row>
    <row r="97" spans="1:6" ht="14.25" customHeight="1" thickBot="1">
      <c r="A97" s="68"/>
      <c r="B97" s="68"/>
      <c r="C97" s="68"/>
      <c r="E97" s="2"/>
      <c r="F97" s="1"/>
    </row>
    <row r="98" spans="1:6" ht="14.25" customHeight="1">
      <c r="A98" s="70"/>
      <c r="B98" s="76" t="s">
        <v>73</v>
      </c>
      <c r="C98" s="77"/>
      <c r="D98" s="2"/>
      <c r="F98" s="1"/>
    </row>
    <row r="99" spans="1:6" ht="14.25" customHeight="1">
      <c r="A99" s="32">
        <v>4</v>
      </c>
      <c r="B99" s="78" t="s">
        <v>74</v>
      </c>
      <c r="C99" s="79" t="s">
        <v>29</v>
      </c>
      <c r="D99" s="2"/>
      <c r="F99" s="1"/>
    </row>
    <row r="100" spans="1:4" s="17" customFormat="1" ht="15" customHeight="1">
      <c r="A100" s="35" t="s">
        <v>65</v>
      </c>
      <c r="B100" s="36" t="s">
        <v>66</v>
      </c>
      <c r="C100" s="37">
        <f>C91</f>
        <v>37.17572057467949</v>
      </c>
      <c r="D100" s="16"/>
    </row>
    <row r="101" spans="1:6" ht="15" customHeight="1">
      <c r="A101" s="35" t="s">
        <v>70</v>
      </c>
      <c r="B101" s="36" t="s">
        <v>71</v>
      </c>
      <c r="C101" s="37">
        <v>0</v>
      </c>
      <c r="D101" s="2"/>
      <c r="F101" s="1"/>
    </row>
    <row r="102" spans="1:6" ht="15" customHeight="1" thickBot="1">
      <c r="A102" s="42"/>
      <c r="B102" s="80" t="s">
        <v>32</v>
      </c>
      <c r="C102" s="44">
        <f>SUM(C100:C101)</f>
        <v>37.17572057467949</v>
      </c>
      <c r="D102" s="2"/>
      <c r="F102" s="1"/>
    </row>
    <row r="103" ht="15" customHeight="1" thickBot="1">
      <c r="F103" s="1"/>
    </row>
    <row r="104" spans="1:6" ht="15" customHeight="1">
      <c r="A104" s="18"/>
      <c r="B104" s="82" t="s">
        <v>75</v>
      </c>
      <c r="C104" s="12"/>
      <c r="F104" s="1"/>
    </row>
    <row r="105" spans="1:6" ht="15" customHeight="1">
      <c r="A105" s="104">
        <v>5</v>
      </c>
      <c r="B105" s="105" t="s">
        <v>76</v>
      </c>
      <c r="C105" s="34" t="s">
        <v>13</v>
      </c>
      <c r="F105" s="1"/>
    </row>
    <row r="106" spans="1:6" ht="15" customHeight="1">
      <c r="A106" s="106" t="s">
        <v>14</v>
      </c>
      <c r="B106" s="107" t="s">
        <v>77</v>
      </c>
      <c r="C106" s="38">
        <v>46.68</v>
      </c>
      <c r="F106" s="1"/>
    </row>
    <row r="107" spans="1:6" ht="15" customHeight="1">
      <c r="A107" s="106" t="s">
        <v>18</v>
      </c>
      <c r="B107" s="107" t="s">
        <v>78</v>
      </c>
      <c r="C107" s="134">
        <v>3.29</v>
      </c>
      <c r="D107" s="133"/>
      <c r="F107" s="133"/>
    </row>
    <row r="108" spans="1:6" ht="15" customHeight="1" thickBot="1">
      <c r="A108" s="108"/>
      <c r="B108" s="109" t="s">
        <v>79</v>
      </c>
      <c r="C108" s="110">
        <f>41.84+314.2+9.59</f>
        <v>365.62999999999994</v>
      </c>
      <c r="F108" s="1"/>
    </row>
    <row r="109" spans="1:6" ht="15" customHeight="1" thickBot="1">
      <c r="A109" s="19"/>
      <c r="B109" s="20"/>
      <c r="C109" s="21"/>
      <c r="D109" s="21"/>
      <c r="F109" s="1"/>
    </row>
    <row r="110" spans="1:6" ht="15" customHeight="1">
      <c r="A110" s="22"/>
      <c r="B110" s="167" t="s">
        <v>80</v>
      </c>
      <c r="C110" s="167"/>
      <c r="D110" s="167"/>
      <c r="F110" s="1"/>
    </row>
    <row r="111" spans="1:6" ht="15" customHeight="1">
      <c r="A111" s="104">
        <v>6</v>
      </c>
      <c r="B111" s="95" t="s">
        <v>82</v>
      </c>
      <c r="C111" s="111" t="s">
        <v>36</v>
      </c>
      <c r="D111" s="96" t="s">
        <v>13</v>
      </c>
      <c r="F111" s="1"/>
    </row>
    <row r="112" spans="1:6" ht="15" customHeight="1">
      <c r="A112" s="106" t="s">
        <v>14</v>
      </c>
      <c r="B112" s="112" t="s">
        <v>83</v>
      </c>
      <c r="C112" s="113">
        <v>7.01</v>
      </c>
      <c r="D112" s="49">
        <f>(C129)*C112/100</f>
        <v>241.58999164530525</v>
      </c>
      <c r="F112" s="1"/>
    </row>
    <row r="113" spans="1:6" ht="15" customHeight="1">
      <c r="A113" s="106" t="s">
        <v>16</v>
      </c>
      <c r="B113" s="112" t="s">
        <v>84</v>
      </c>
      <c r="C113" s="113">
        <v>5.18</v>
      </c>
      <c r="D113" s="49">
        <f>(C129+D112)*C113/100</f>
        <v>191.03592458044807</v>
      </c>
      <c r="F113" s="1"/>
    </row>
    <row r="114" spans="1:6" ht="15" customHeight="1">
      <c r="A114" s="106" t="s">
        <v>18</v>
      </c>
      <c r="B114" s="112" t="s">
        <v>85</v>
      </c>
      <c r="C114" s="113"/>
      <c r="D114" s="49"/>
      <c r="F114" s="1"/>
    </row>
    <row r="115" spans="1:6" ht="15" customHeight="1">
      <c r="A115" s="106"/>
      <c r="B115" s="112" t="s">
        <v>86</v>
      </c>
      <c r="C115" s="113">
        <f>3+0.65</f>
        <v>3.65</v>
      </c>
      <c r="D115" s="49">
        <f>((C129+D112+D113)/(1-(C115+C117)/100))*C115/100</f>
        <v>154.98967376505163</v>
      </c>
      <c r="F115" s="1"/>
    </row>
    <row r="116" spans="1:6" ht="15" customHeight="1">
      <c r="A116" s="106"/>
      <c r="B116" s="112" t="s">
        <v>87</v>
      </c>
      <c r="C116" s="113"/>
      <c r="D116" s="49"/>
      <c r="F116" s="1"/>
    </row>
    <row r="117" spans="1:6" ht="15" customHeight="1">
      <c r="A117" s="106"/>
      <c r="B117" s="112" t="s">
        <v>88</v>
      </c>
      <c r="C117" s="114">
        <v>5</v>
      </c>
      <c r="D117" s="49">
        <f>((C129+D112+D113)/(1-(C115+C117)/100))*C117/100</f>
        <v>212.31462159596117</v>
      </c>
      <c r="F117" s="1"/>
    </row>
    <row r="118" spans="1:6" ht="15" customHeight="1">
      <c r="A118" s="106"/>
      <c r="B118" s="112" t="s">
        <v>89</v>
      </c>
      <c r="C118" s="113"/>
      <c r="D118" s="49"/>
      <c r="F118" s="1"/>
    </row>
    <row r="119" spans="1:6" ht="15" customHeight="1" thickBot="1">
      <c r="A119" s="115"/>
      <c r="B119" s="100" t="s">
        <v>47</v>
      </c>
      <c r="C119" s="116">
        <f>SUM(C112:C118)</f>
        <v>20.84</v>
      </c>
      <c r="D119" s="50">
        <f>SUM(D112:D118)</f>
        <v>799.9302115867661</v>
      </c>
      <c r="F119" s="1"/>
    </row>
    <row r="120" spans="1:6" ht="15" customHeight="1">
      <c r="A120" s="19"/>
      <c r="B120" s="20"/>
      <c r="C120" s="21"/>
      <c r="D120" s="21"/>
      <c r="F120" s="1"/>
    </row>
    <row r="121" spans="1:4" s="17" customFormat="1" ht="15" customHeight="1">
      <c r="A121" s="172" t="s">
        <v>90</v>
      </c>
      <c r="B121" s="172"/>
      <c r="C121" s="172"/>
      <c r="D121" s="23"/>
    </row>
    <row r="122" spans="1:4" s="17" customFormat="1" ht="15" customHeight="1" thickBot="1">
      <c r="A122" s="1"/>
      <c r="B122" s="23"/>
      <c r="C122" s="1"/>
      <c r="D122" s="1"/>
    </row>
    <row r="123" spans="1:3" s="17" customFormat="1" ht="12.75">
      <c r="A123" s="70"/>
      <c r="B123" s="117" t="s">
        <v>91</v>
      </c>
      <c r="C123" s="118" t="s">
        <v>13</v>
      </c>
    </row>
    <row r="124" spans="1:3" s="17" customFormat="1" ht="15" customHeight="1">
      <c r="A124" s="45" t="s">
        <v>14</v>
      </c>
      <c r="B124" s="112" t="s">
        <v>92</v>
      </c>
      <c r="C124" s="49">
        <f>C34</f>
        <v>1486.8</v>
      </c>
    </row>
    <row r="125" spans="1:3" s="17" customFormat="1" ht="15" customHeight="1">
      <c r="A125" s="45" t="s">
        <v>16</v>
      </c>
      <c r="B125" s="112" t="s">
        <v>93</v>
      </c>
      <c r="C125" s="49">
        <f>C70</f>
        <v>1457.8114</v>
      </c>
    </row>
    <row r="126" spans="1:3" s="17" customFormat="1" ht="15" customHeight="1">
      <c r="A126" s="45" t="s">
        <v>18</v>
      </c>
      <c r="B126" s="112" t="s">
        <v>94</v>
      </c>
      <c r="C126" s="49">
        <f>C80</f>
        <v>98.94509975777778</v>
      </c>
    </row>
    <row r="127" spans="1:3" s="17" customFormat="1" ht="15" customHeight="1">
      <c r="A127" s="45" t="s">
        <v>20</v>
      </c>
      <c r="B127" s="112" t="s">
        <v>63</v>
      </c>
      <c r="C127" s="49">
        <f>C102</f>
        <v>37.17572057467949</v>
      </c>
    </row>
    <row r="128" spans="1:3" s="17" customFormat="1" ht="15" customHeight="1">
      <c r="A128" s="45" t="s">
        <v>22</v>
      </c>
      <c r="B128" s="112" t="s">
        <v>95</v>
      </c>
      <c r="C128" s="49">
        <f>C108</f>
        <v>365.62999999999994</v>
      </c>
    </row>
    <row r="129" spans="1:3" s="17" customFormat="1" ht="15" customHeight="1">
      <c r="A129" s="45"/>
      <c r="B129" s="111" t="s">
        <v>96</v>
      </c>
      <c r="C129" s="119">
        <f>SUM(C124:C128)</f>
        <v>3446.362220332457</v>
      </c>
    </row>
    <row r="130" spans="1:3" s="17" customFormat="1" ht="15" customHeight="1">
      <c r="A130" s="45" t="s">
        <v>23</v>
      </c>
      <c r="B130" s="112" t="s">
        <v>97</v>
      </c>
      <c r="C130" s="49">
        <f>D119</f>
        <v>799.9302115867661</v>
      </c>
    </row>
    <row r="131" spans="1:3" s="17" customFormat="1" ht="12.75">
      <c r="A131" s="45"/>
      <c r="B131" s="95" t="s">
        <v>98</v>
      </c>
      <c r="C131" s="119">
        <f>SUM(C129:C130)</f>
        <v>4246.292431919223</v>
      </c>
    </row>
    <row r="132" spans="1:3" s="17" customFormat="1" ht="15" customHeight="1" thickBot="1">
      <c r="A132" s="42"/>
      <c r="B132" s="120" t="s">
        <v>99</v>
      </c>
      <c r="C132" s="121">
        <f>C131/C34</f>
        <v>2.85599437175089</v>
      </c>
    </row>
    <row r="133" spans="1:5" s="17" customFormat="1" ht="15" customHeight="1">
      <c r="A133" s="1"/>
      <c r="B133" s="23"/>
      <c r="C133" s="1"/>
      <c r="D133" s="1"/>
      <c r="E133" s="1"/>
    </row>
    <row r="134" spans="1:5" s="2" customFormat="1" ht="13.5" thickBot="1">
      <c r="A134" s="1"/>
      <c r="B134" s="1"/>
      <c r="C134" s="1"/>
      <c r="D134" s="1"/>
      <c r="E134" s="1"/>
    </row>
    <row r="135" spans="1:5" s="2" customFormat="1" ht="12.75">
      <c r="A135" s="22"/>
      <c r="B135" s="167" t="s">
        <v>81</v>
      </c>
      <c r="C135" s="167"/>
      <c r="D135" s="167"/>
      <c r="E135" s="1"/>
    </row>
    <row r="136" spans="1:5" s="2" customFormat="1" ht="12.75">
      <c r="A136" s="104">
        <v>6</v>
      </c>
      <c r="B136" s="95" t="s">
        <v>82</v>
      </c>
      <c r="C136" s="111" t="s">
        <v>36</v>
      </c>
      <c r="D136" s="96" t="s">
        <v>13</v>
      </c>
      <c r="E136" s="1"/>
    </row>
    <row r="137" spans="1:5" s="2" customFormat="1" ht="12.75">
      <c r="A137" s="106" t="s">
        <v>14</v>
      </c>
      <c r="B137" s="112" t="s">
        <v>83</v>
      </c>
      <c r="C137" s="113">
        <v>6.88</v>
      </c>
      <c r="D137" s="49">
        <f>(C154)*C137/100</f>
        <v>237.10972075887304</v>
      </c>
      <c r="E137" s="1"/>
    </row>
    <row r="138" spans="1:5" s="2" customFormat="1" ht="12.75">
      <c r="A138" s="106" t="s">
        <v>16</v>
      </c>
      <c r="B138" s="112" t="s">
        <v>84</v>
      </c>
      <c r="C138" s="113">
        <v>4.49</v>
      </c>
      <c r="D138" s="49">
        <f>(C154+D137)*C138/100</f>
        <v>165.38789015500075</v>
      </c>
      <c r="E138" s="1"/>
    </row>
    <row r="139" spans="1:5" s="2" customFormat="1" ht="12.75">
      <c r="A139" s="106" t="s">
        <v>18</v>
      </c>
      <c r="B139" s="112" t="s">
        <v>85</v>
      </c>
      <c r="C139" s="113"/>
      <c r="D139" s="49"/>
      <c r="E139" s="1"/>
    </row>
    <row r="140" spans="1:5" s="2" customFormat="1" ht="12.75">
      <c r="A140" s="106"/>
      <c r="B140" s="112" t="s">
        <v>115</v>
      </c>
      <c r="C140" s="63">
        <f>1.65+7.6</f>
        <v>9.25</v>
      </c>
      <c r="D140" s="49">
        <f>((C154+D137+D138)/(1-(C140+C142)/100))*C140/100</f>
        <v>415.1831304842981</v>
      </c>
      <c r="E140" s="1"/>
    </row>
    <row r="141" spans="1:5" s="2" customFormat="1" ht="12.75">
      <c r="A141" s="106"/>
      <c r="B141" s="112" t="s">
        <v>87</v>
      </c>
      <c r="C141" s="113"/>
      <c r="D141" s="49"/>
      <c r="E141" s="1"/>
    </row>
    <row r="142" spans="1:5" s="2" customFormat="1" ht="12.75">
      <c r="A142" s="106"/>
      <c r="B142" s="112" t="s">
        <v>88</v>
      </c>
      <c r="C142" s="114">
        <v>5</v>
      </c>
      <c r="D142" s="49">
        <f>((C154+D137+D138)/(1-(C140+C142)/100))*C142/100</f>
        <v>224.42331377529626</v>
      </c>
      <c r="E142" s="1"/>
    </row>
    <row r="143" spans="1:5" s="2" customFormat="1" ht="12.75">
      <c r="A143" s="106"/>
      <c r="B143" s="112" t="s">
        <v>89</v>
      </c>
      <c r="C143" s="113"/>
      <c r="D143" s="49"/>
      <c r="E143" s="1"/>
    </row>
    <row r="144" spans="1:5" s="2" customFormat="1" ht="13.5" thickBot="1">
      <c r="A144" s="115"/>
      <c r="B144" s="100" t="s">
        <v>47</v>
      </c>
      <c r="C144" s="116">
        <f>SUM(C137:C143)</f>
        <v>25.62</v>
      </c>
      <c r="D144" s="50">
        <f>SUM(D137:D143)</f>
        <v>1042.1040551734682</v>
      </c>
      <c r="E144" s="1"/>
    </row>
    <row r="145" spans="1:5" s="2" customFormat="1" ht="12.75">
      <c r="A145" s="68"/>
      <c r="B145" s="68"/>
      <c r="C145" s="68"/>
      <c r="D145" s="68"/>
      <c r="E145" s="1"/>
    </row>
    <row r="146" spans="1:5" s="2" customFormat="1" ht="12.75">
      <c r="A146" s="168" t="s">
        <v>90</v>
      </c>
      <c r="B146" s="168"/>
      <c r="C146" s="168"/>
      <c r="D146" s="122"/>
      <c r="E146" s="1"/>
    </row>
    <row r="147" spans="1:5" s="2" customFormat="1" ht="13.5" thickBot="1">
      <c r="A147" s="68"/>
      <c r="B147" s="123"/>
      <c r="C147" s="68"/>
      <c r="D147" s="122"/>
      <c r="E147" s="1"/>
    </row>
    <row r="148" spans="1:5" s="2" customFormat="1" ht="12.75">
      <c r="A148" s="70"/>
      <c r="B148" s="117" t="s">
        <v>91</v>
      </c>
      <c r="C148" s="118" t="s">
        <v>13</v>
      </c>
      <c r="D148" s="122"/>
      <c r="E148" s="1"/>
    </row>
    <row r="149" spans="1:4" ht="12.75">
      <c r="A149" s="45" t="s">
        <v>14</v>
      </c>
      <c r="B149" s="112" t="s">
        <v>92</v>
      </c>
      <c r="C149" s="49">
        <f>C124</f>
        <v>1486.8</v>
      </c>
      <c r="D149" s="122"/>
    </row>
    <row r="150" spans="1:4" ht="12.75">
      <c r="A150" s="45" t="s">
        <v>16</v>
      </c>
      <c r="B150" s="112" t="s">
        <v>93</v>
      </c>
      <c r="C150" s="49">
        <f>C125</f>
        <v>1457.8114</v>
      </c>
      <c r="D150" s="122"/>
    </row>
    <row r="151" spans="1:4" ht="12.75">
      <c r="A151" s="45" t="s">
        <v>18</v>
      </c>
      <c r="B151" s="112" t="s">
        <v>94</v>
      </c>
      <c r="C151" s="49">
        <f>C126</f>
        <v>98.94509975777778</v>
      </c>
      <c r="D151" s="122"/>
    </row>
    <row r="152" spans="1:4" ht="12.75">
      <c r="A152" s="45" t="s">
        <v>20</v>
      </c>
      <c r="B152" s="112" t="s">
        <v>63</v>
      </c>
      <c r="C152" s="49">
        <f>C127</f>
        <v>37.17572057467949</v>
      </c>
      <c r="D152" s="122"/>
    </row>
    <row r="153" spans="1:4" ht="12.75">
      <c r="A153" s="45" t="s">
        <v>22</v>
      </c>
      <c r="B153" s="112" t="s">
        <v>95</v>
      </c>
      <c r="C153" s="49">
        <f>C128</f>
        <v>365.62999999999994</v>
      </c>
      <c r="D153" s="122"/>
    </row>
    <row r="154" spans="1:4" ht="12.75">
      <c r="A154" s="45"/>
      <c r="B154" s="111" t="s">
        <v>96</v>
      </c>
      <c r="C154" s="119">
        <f>SUM(C149:C153)</f>
        <v>3446.362220332457</v>
      </c>
      <c r="D154" s="122"/>
    </row>
    <row r="155" spans="1:4" ht="12.75">
      <c r="A155" s="45" t="s">
        <v>23</v>
      </c>
      <c r="B155" s="112" t="s">
        <v>97</v>
      </c>
      <c r="C155" s="49">
        <f>D144</f>
        <v>1042.1040551734682</v>
      </c>
      <c r="D155" s="122"/>
    </row>
    <row r="156" spans="1:4" ht="12.75">
      <c r="A156" s="45"/>
      <c r="B156" s="95" t="s">
        <v>98</v>
      </c>
      <c r="C156" s="119">
        <f>SUM(C154:C155)</f>
        <v>4488.466275505925</v>
      </c>
      <c r="D156" s="122"/>
    </row>
    <row r="157" spans="1:4" ht="13.5" thickBot="1">
      <c r="A157" s="42"/>
      <c r="B157" s="120" t="s">
        <v>99</v>
      </c>
      <c r="C157" s="121">
        <f>C156/C34</f>
        <v>3.0188769676526266</v>
      </c>
      <c r="D157" s="122"/>
    </row>
  </sheetData>
  <sheetProtection selectLockedCells="1" selectUnlockedCells="1"/>
  <mergeCells count="30">
    <mergeCell ref="B135:D135"/>
    <mergeCell ref="A146:C146"/>
    <mergeCell ref="B36:C36"/>
    <mergeCell ref="B37:C37"/>
    <mergeCell ref="A44:D44"/>
    <mergeCell ref="B93:C93"/>
    <mergeCell ref="B110:D110"/>
    <mergeCell ref="A121:C121"/>
    <mergeCell ref="C15:E15"/>
    <mergeCell ref="C16:E16"/>
    <mergeCell ref="C17:E17"/>
    <mergeCell ref="C18:E18"/>
    <mergeCell ref="A26:C26"/>
    <mergeCell ref="B35:D35"/>
    <mergeCell ref="C19:E19"/>
    <mergeCell ref="C20:E20"/>
    <mergeCell ref="C21:E21"/>
    <mergeCell ref="C22:E22"/>
    <mergeCell ref="B7:E7"/>
    <mergeCell ref="B8:E8"/>
    <mergeCell ref="B10:E10"/>
    <mergeCell ref="C12:E12"/>
    <mergeCell ref="C13:E13"/>
    <mergeCell ref="C14:E14"/>
    <mergeCell ref="B1:E1"/>
    <mergeCell ref="B2:E2"/>
    <mergeCell ref="B3:E3"/>
    <mergeCell ref="B4:E4"/>
    <mergeCell ref="B5:E5"/>
    <mergeCell ref="B6:E6"/>
  </mergeCells>
  <printOptions horizontalCentered="1" verticalCentered="1"/>
  <pageMargins left="0" right="0" top="0.9491666666666667" bottom="0.5905511811023623" header="0.5511811023622047" footer="0.35433070866141736"/>
  <pageSetup firstPageNumber="1" useFirstPageNumber="1" horizontalDpi="600" verticalDpi="600" orientation="portrait" paperSize="9" scale="85" r:id="rId3"/>
  <headerFooter alignWithMargins="0">
    <oddHeader xml:space="preserve">&amp;C&amp;"-,Regular"&amp;9PROCESSO 23069.154415/2020-65
PREGÃO ELETRÔNICO XXX/2020    </oddHeader>
    <oddFooter xml:space="preserve">&amp;L&amp;"-,Regular"&amp;9ANEXO IV-A4   </oddFooter>
  </headerFooter>
  <rowBreaks count="2" manualBreakCount="2">
    <brk id="56" max="5" man="1"/>
    <brk id="109" max="5" man="1"/>
  </rowBreaks>
  <colBreaks count="1" manualBreakCount="1">
    <brk id="7" max="151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7"/>
  <sheetViews>
    <sheetView zoomScaleSheetLayoutView="100" workbookViewId="0" topLeftCell="A40">
      <selection activeCell="B47" sqref="B47"/>
    </sheetView>
  </sheetViews>
  <sheetFormatPr defaultColWidth="11.421875" defaultRowHeight="12.75"/>
  <cols>
    <col min="1" max="1" width="5.140625" style="1" customWidth="1"/>
    <col min="2" max="2" width="57.57421875" style="1" customWidth="1"/>
    <col min="3" max="3" width="16.7109375" style="1" customWidth="1"/>
    <col min="4" max="4" width="11.57421875" style="1" bestFit="1" customWidth="1"/>
    <col min="5" max="5" width="6.7109375" style="1" bestFit="1" customWidth="1"/>
    <col min="6" max="6" width="7.7109375" style="2" bestFit="1" customWidth="1"/>
    <col min="7" max="7" width="11.421875" style="1" customWidth="1"/>
    <col min="8" max="8" width="46.00390625" style="1" customWidth="1"/>
    <col min="9" max="9" width="17.00390625" style="1" customWidth="1"/>
    <col min="10" max="10" width="14.28125" style="1" customWidth="1"/>
    <col min="11" max="16384" width="11.421875" style="1" customWidth="1"/>
  </cols>
  <sheetData>
    <row r="1" spans="2:5" ht="12.75">
      <c r="B1" s="151" t="s">
        <v>0</v>
      </c>
      <c r="C1" s="151"/>
      <c r="D1" s="151"/>
      <c r="E1" s="151"/>
    </row>
    <row r="2" spans="2:5" ht="12.75">
      <c r="B2" s="152" t="s">
        <v>1</v>
      </c>
      <c r="C2" s="152"/>
      <c r="D2" s="152"/>
      <c r="E2" s="152"/>
    </row>
    <row r="3" spans="2:5" ht="12.75">
      <c r="B3" s="152" t="s">
        <v>2</v>
      </c>
      <c r="C3" s="152"/>
      <c r="D3" s="152"/>
      <c r="E3" s="152"/>
    </row>
    <row r="4" spans="2:5" ht="12.75">
      <c r="B4" s="153" t="s">
        <v>171</v>
      </c>
      <c r="C4" s="153"/>
      <c r="D4" s="153"/>
      <c r="E4" s="153"/>
    </row>
    <row r="5" spans="2:5" ht="24" customHeight="1">
      <c r="B5" s="154" t="s">
        <v>3</v>
      </c>
      <c r="C5" s="154"/>
      <c r="D5" s="154"/>
      <c r="E5" s="154"/>
    </row>
    <row r="6" spans="2:5" ht="12.75">
      <c r="B6" s="155" t="s">
        <v>128</v>
      </c>
      <c r="C6" s="155"/>
      <c r="D6" s="155"/>
      <c r="E6" s="155"/>
    </row>
    <row r="7" spans="2:5" ht="12.75">
      <c r="B7" s="153" t="s">
        <v>127</v>
      </c>
      <c r="C7" s="153"/>
      <c r="D7" s="153"/>
      <c r="E7" s="153"/>
    </row>
    <row r="8" spans="2:5" ht="12.75">
      <c r="B8" s="156" t="s">
        <v>112</v>
      </c>
      <c r="C8" s="156"/>
      <c r="D8" s="156"/>
      <c r="E8" s="156"/>
    </row>
    <row r="10" spans="1:5" s="2" customFormat="1" ht="12.75">
      <c r="A10" s="1"/>
      <c r="B10" s="157" t="s">
        <v>4</v>
      </c>
      <c r="C10" s="157"/>
      <c r="D10" s="157"/>
      <c r="E10" s="157"/>
    </row>
    <row r="11" spans="1:5" s="2" customFormat="1" ht="17.25" customHeight="1" thickBot="1">
      <c r="A11" s="1"/>
      <c r="B11" s="3" t="s">
        <v>5</v>
      </c>
      <c r="C11" s="4"/>
      <c r="D11" s="4"/>
      <c r="E11" s="4"/>
    </row>
    <row r="12" spans="1:5" s="2" customFormat="1" ht="24" customHeight="1">
      <c r="A12" s="1"/>
      <c r="B12" s="5" t="s">
        <v>6</v>
      </c>
      <c r="C12" s="173" t="s">
        <v>136</v>
      </c>
      <c r="D12" s="173"/>
      <c r="E12" s="173"/>
    </row>
    <row r="13" spans="1:5" s="2" customFormat="1" ht="15.75" customHeight="1">
      <c r="A13" s="1"/>
      <c r="B13" s="6" t="s">
        <v>7</v>
      </c>
      <c r="C13" s="158">
        <v>20.88</v>
      </c>
      <c r="D13" s="158"/>
      <c r="E13" s="158"/>
    </row>
    <row r="14" spans="1:5" s="2" customFormat="1" ht="15.75" customHeight="1">
      <c r="A14" s="1"/>
      <c r="B14" s="7" t="s">
        <v>8</v>
      </c>
      <c r="C14" s="159" t="s">
        <v>137</v>
      </c>
      <c r="D14" s="160"/>
      <c r="E14" s="160"/>
    </row>
    <row r="15" spans="1:5" s="2" customFormat="1" ht="15.75" customHeight="1">
      <c r="A15" s="1"/>
      <c r="B15" s="6" t="s">
        <v>9</v>
      </c>
      <c r="C15" s="161">
        <v>3163.23</v>
      </c>
      <c r="D15" s="161"/>
      <c r="E15" s="161"/>
    </row>
    <row r="16" spans="1:5" s="2" customFormat="1" ht="15.75" customHeight="1">
      <c r="A16" s="1"/>
      <c r="B16" s="8" t="s">
        <v>10</v>
      </c>
      <c r="C16" s="158" t="s">
        <v>138</v>
      </c>
      <c r="D16" s="158"/>
      <c r="E16" s="158"/>
    </row>
    <row r="17" spans="1:5" s="2" customFormat="1" ht="15.75" customHeight="1">
      <c r="A17" s="1"/>
      <c r="B17" s="9" t="s">
        <v>119</v>
      </c>
      <c r="C17" s="162">
        <v>1</v>
      </c>
      <c r="D17" s="163"/>
      <c r="E17" s="164"/>
    </row>
    <row r="18" spans="1:5" s="2" customFormat="1" ht="15.75" customHeight="1">
      <c r="A18" s="1"/>
      <c r="B18" s="209" t="s">
        <v>163</v>
      </c>
      <c r="C18" s="196"/>
      <c r="D18" s="196"/>
      <c r="E18" s="210"/>
    </row>
    <row r="19" spans="1:5" s="2" customFormat="1" ht="15.75" customHeight="1">
      <c r="A19" s="1"/>
      <c r="B19" s="209" t="s">
        <v>164</v>
      </c>
      <c r="C19" s="196"/>
      <c r="D19" s="196"/>
      <c r="E19" s="210"/>
    </row>
    <row r="20" spans="1:5" s="2" customFormat="1" ht="15.75" customHeight="1">
      <c r="A20" s="1"/>
      <c r="B20" s="209" t="s">
        <v>165</v>
      </c>
      <c r="C20" s="196"/>
      <c r="D20" s="196"/>
      <c r="E20" s="210"/>
    </row>
    <row r="21" spans="1:5" s="2" customFormat="1" ht="15.75" customHeight="1">
      <c r="A21" s="1"/>
      <c r="B21" s="209" t="s">
        <v>166</v>
      </c>
      <c r="C21" s="196"/>
      <c r="D21" s="196"/>
      <c r="E21" s="210"/>
    </row>
    <row r="22" spans="1:5" s="2" customFormat="1" ht="15.75" customHeight="1" thickBot="1">
      <c r="A22" s="1"/>
      <c r="B22" s="211" t="s">
        <v>167</v>
      </c>
      <c r="C22" s="212"/>
      <c r="D22" s="212"/>
      <c r="E22" s="213"/>
    </row>
    <row r="23" spans="1:5" s="2" customFormat="1" ht="15.75" customHeight="1">
      <c r="A23" s="1"/>
      <c r="B23" s="187"/>
      <c r="C23" s="188"/>
      <c r="D23" s="188"/>
      <c r="E23" s="188"/>
    </row>
    <row r="24" spans="1:3" s="2" customFormat="1" ht="15.75" customHeight="1">
      <c r="A24" s="1"/>
      <c r="B24" s="1"/>
      <c r="C24" s="10"/>
    </row>
    <row r="25" spans="1:2" s="2" customFormat="1" ht="12" customHeight="1" thickBot="1">
      <c r="A25" s="1"/>
      <c r="B25" s="1"/>
    </row>
    <row r="26" spans="1:3" s="2" customFormat="1" ht="15.75" customHeight="1">
      <c r="A26" s="165" t="s">
        <v>11</v>
      </c>
      <c r="B26" s="165"/>
      <c r="C26" s="165"/>
    </row>
    <row r="27" spans="1:3" s="2" customFormat="1" ht="15.75" customHeight="1">
      <c r="A27" s="32">
        <v>1</v>
      </c>
      <c r="B27" s="33" t="s">
        <v>12</v>
      </c>
      <c r="C27" s="34" t="s">
        <v>13</v>
      </c>
    </row>
    <row r="28" spans="1:3" s="2" customFormat="1" ht="15.75" customHeight="1">
      <c r="A28" s="35" t="s">
        <v>14</v>
      </c>
      <c r="B28" s="36" t="s">
        <v>15</v>
      </c>
      <c r="C28" s="37">
        <f>C15</f>
        <v>3163.23</v>
      </c>
    </row>
    <row r="29" spans="1:3" s="2" customFormat="1" ht="15.75" customHeight="1">
      <c r="A29" s="35" t="s">
        <v>16</v>
      </c>
      <c r="B29" s="36" t="s">
        <v>17</v>
      </c>
      <c r="C29" s="38"/>
    </row>
    <row r="30" spans="1:6" ht="15.75" customHeight="1">
      <c r="A30" s="35" t="s">
        <v>18</v>
      </c>
      <c r="B30" s="36" t="s">
        <v>19</v>
      </c>
      <c r="C30" s="38"/>
      <c r="D30" s="2"/>
      <c r="F30" s="1"/>
    </row>
    <row r="31" spans="1:6" ht="15.75" customHeight="1">
      <c r="A31" s="35" t="s">
        <v>20</v>
      </c>
      <c r="B31" s="39" t="s">
        <v>21</v>
      </c>
      <c r="C31" s="38"/>
      <c r="D31" s="2"/>
      <c r="F31" s="1"/>
    </row>
    <row r="32" spans="1:6" ht="15.75" customHeight="1">
      <c r="A32" s="35" t="s">
        <v>22</v>
      </c>
      <c r="B32" s="39" t="s">
        <v>101</v>
      </c>
      <c r="C32" s="38"/>
      <c r="D32" s="2"/>
      <c r="F32" s="1"/>
    </row>
    <row r="33" spans="1:6" ht="15.75" customHeight="1">
      <c r="A33" s="35" t="s">
        <v>23</v>
      </c>
      <c r="B33" s="40" t="s">
        <v>113</v>
      </c>
      <c r="C33" s="41"/>
      <c r="D33" s="2"/>
      <c r="F33" s="1"/>
    </row>
    <row r="34" spans="1:6" ht="15.75" customHeight="1" thickBot="1">
      <c r="A34" s="42"/>
      <c r="B34" s="43" t="s">
        <v>24</v>
      </c>
      <c r="C34" s="44">
        <f>SUM(C28:C33)</f>
        <v>3163.23</v>
      </c>
      <c r="D34" s="2"/>
      <c r="F34" s="1"/>
    </row>
    <row r="35" spans="2:6" ht="15.75" customHeight="1" thickBot="1">
      <c r="B35" s="166"/>
      <c r="C35" s="166"/>
      <c r="D35" s="166"/>
      <c r="E35" s="2"/>
      <c r="F35" s="1"/>
    </row>
    <row r="36" spans="1:6" ht="15.75" customHeight="1">
      <c r="A36" s="5"/>
      <c r="B36" s="167" t="s">
        <v>25</v>
      </c>
      <c r="C36" s="167"/>
      <c r="D36" s="2"/>
      <c r="F36" s="1"/>
    </row>
    <row r="37" spans="1:6" ht="15.75" customHeight="1">
      <c r="A37" s="45"/>
      <c r="B37" s="169" t="s">
        <v>26</v>
      </c>
      <c r="C37" s="169"/>
      <c r="D37" s="2"/>
      <c r="F37" s="1"/>
    </row>
    <row r="38" spans="1:6" ht="15.75" customHeight="1">
      <c r="A38" s="32" t="s">
        <v>27</v>
      </c>
      <c r="B38" s="48" t="s">
        <v>28</v>
      </c>
      <c r="C38" s="34" t="s">
        <v>29</v>
      </c>
      <c r="D38" s="2"/>
      <c r="F38" s="1"/>
    </row>
    <row r="39" spans="1:6" ht="15.75" customHeight="1">
      <c r="A39" s="35" t="s">
        <v>14</v>
      </c>
      <c r="B39" s="46" t="s">
        <v>30</v>
      </c>
      <c r="C39" s="49">
        <f>C34*8.33%</f>
        <v>263.497059</v>
      </c>
      <c r="D39" s="2"/>
      <c r="F39" s="1"/>
    </row>
    <row r="40" spans="1:6" ht="15.75" customHeight="1">
      <c r="A40" s="35" t="s">
        <v>16</v>
      </c>
      <c r="B40" s="46" t="s">
        <v>31</v>
      </c>
      <c r="C40" s="49">
        <f>C34*12.1%</f>
        <v>382.75083</v>
      </c>
      <c r="D40" s="132"/>
      <c r="F40" s="1"/>
    </row>
    <row r="41" spans="1:6" ht="15.75" customHeight="1">
      <c r="A41" s="127"/>
      <c r="B41" s="130" t="s">
        <v>32</v>
      </c>
      <c r="C41" s="125">
        <f>SUM(C39:C40)</f>
        <v>646.247889</v>
      </c>
      <c r="D41" s="30"/>
      <c r="F41" s="1"/>
    </row>
    <row r="42" spans="1:6" ht="35.25" customHeight="1">
      <c r="A42" s="128" t="s">
        <v>18</v>
      </c>
      <c r="B42" s="131" t="s">
        <v>118</v>
      </c>
      <c r="C42" s="129">
        <f>C34*7.82%</f>
        <v>247.36458600000003</v>
      </c>
      <c r="D42" s="30"/>
      <c r="F42" s="1"/>
    </row>
    <row r="43" spans="5:6" ht="15.75" customHeight="1" thickBot="1">
      <c r="E43" s="2"/>
      <c r="F43" s="1"/>
    </row>
    <row r="44" spans="1:6" ht="24.75" customHeight="1" thickBot="1">
      <c r="A44" s="170" t="s">
        <v>33</v>
      </c>
      <c r="B44" s="170"/>
      <c r="C44" s="170"/>
      <c r="D44" s="170"/>
      <c r="E44" s="2"/>
      <c r="F44" s="1"/>
    </row>
    <row r="45" spans="1:6" ht="13.5" customHeight="1" thickBot="1">
      <c r="A45" s="51" t="s">
        <v>34</v>
      </c>
      <c r="B45" s="52" t="s">
        <v>35</v>
      </c>
      <c r="C45" s="53" t="s">
        <v>36</v>
      </c>
      <c r="D45" s="54" t="s">
        <v>13</v>
      </c>
      <c r="E45" s="2"/>
      <c r="F45" s="1"/>
    </row>
    <row r="46" spans="1:6" ht="14.25" customHeight="1">
      <c r="A46" s="55" t="s">
        <v>14</v>
      </c>
      <c r="B46" s="56" t="s">
        <v>37</v>
      </c>
      <c r="C46" s="57">
        <v>20</v>
      </c>
      <c r="D46" s="58">
        <f>(C34*(C46/100))</f>
        <v>632.6460000000001</v>
      </c>
      <c r="E46" s="2"/>
      <c r="F46" s="1"/>
    </row>
    <row r="47" spans="1:6" ht="14.25" customHeight="1">
      <c r="A47" s="55" t="s">
        <v>16</v>
      </c>
      <c r="B47" s="59" t="s">
        <v>38</v>
      </c>
      <c r="C47" s="60">
        <v>2.5</v>
      </c>
      <c r="D47" s="61">
        <f>(C34*(C47/100))</f>
        <v>79.08075000000001</v>
      </c>
      <c r="E47" s="2"/>
      <c r="F47" s="1"/>
    </row>
    <row r="48" spans="1:6" ht="14.25" customHeight="1">
      <c r="A48" s="55" t="s">
        <v>18</v>
      </c>
      <c r="B48" s="62" t="s">
        <v>39</v>
      </c>
      <c r="C48" s="63">
        <v>2</v>
      </c>
      <c r="D48" s="49">
        <f aca="true" t="shared" si="0" ref="D48:D53">($C$34*(C48/100))</f>
        <v>63.2646</v>
      </c>
      <c r="E48" s="2"/>
      <c r="F48" s="1"/>
    </row>
    <row r="49" spans="1:6" ht="14.25" customHeight="1">
      <c r="A49" s="55" t="s">
        <v>20</v>
      </c>
      <c r="B49" s="59" t="s">
        <v>40</v>
      </c>
      <c r="C49" s="60">
        <v>1.5</v>
      </c>
      <c r="D49" s="61">
        <f t="shared" si="0"/>
        <v>47.44845</v>
      </c>
      <c r="E49" s="2"/>
      <c r="F49" s="1"/>
    </row>
    <row r="50" spans="1:6" ht="14.25" customHeight="1">
      <c r="A50" s="55" t="s">
        <v>22</v>
      </c>
      <c r="B50" s="59" t="s">
        <v>41</v>
      </c>
      <c r="C50" s="60">
        <v>1</v>
      </c>
      <c r="D50" s="61">
        <f t="shared" si="0"/>
        <v>31.6323</v>
      </c>
      <c r="E50" s="2"/>
      <c r="F50" s="1"/>
    </row>
    <row r="51" spans="1:6" ht="14.25" customHeight="1">
      <c r="A51" s="55" t="s">
        <v>23</v>
      </c>
      <c r="B51" s="59" t="s">
        <v>42</v>
      </c>
      <c r="C51" s="60">
        <v>0.6000000000000001</v>
      </c>
      <c r="D51" s="61">
        <f t="shared" si="0"/>
        <v>18.979380000000003</v>
      </c>
      <c r="E51" s="2"/>
      <c r="F51" s="1"/>
    </row>
    <row r="52" spans="1:6" ht="14.25" customHeight="1">
      <c r="A52" s="55" t="s">
        <v>43</v>
      </c>
      <c r="B52" s="59" t="s">
        <v>44</v>
      </c>
      <c r="C52" s="60">
        <v>0.2</v>
      </c>
      <c r="D52" s="61">
        <f t="shared" si="0"/>
        <v>6.32646</v>
      </c>
      <c r="E52" s="2"/>
      <c r="F52" s="1"/>
    </row>
    <row r="53" spans="1:6" ht="14.25" customHeight="1">
      <c r="A53" s="55" t="s">
        <v>45</v>
      </c>
      <c r="B53" s="62" t="s">
        <v>46</v>
      </c>
      <c r="C53" s="63">
        <v>8</v>
      </c>
      <c r="D53" s="49">
        <f t="shared" si="0"/>
        <v>253.0584</v>
      </c>
      <c r="E53" s="2"/>
      <c r="F53" s="1"/>
    </row>
    <row r="54" spans="1:6" ht="14.25" customHeight="1" thickBot="1">
      <c r="A54" s="64"/>
      <c r="B54" s="65" t="s">
        <v>47</v>
      </c>
      <c r="C54" s="66">
        <f>SUM(C46:C53)</f>
        <v>35.8</v>
      </c>
      <c r="D54" s="67">
        <f>SUM(D46:D53)</f>
        <v>1132.43634</v>
      </c>
      <c r="E54" s="2"/>
      <c r="F54" s="1"/>
    </row>
    <row r="55" spans="1:6" ht="14.25" customHeight="1">
      <c r="A55" s="68"/>
      <c r="B55" s="69" t="s">
        <v>48</v>
      </c>
      <c r="C55" s="68"/>
      <c r="D55" s="68"/>
      <c r="E55" s="2"/>
      <c r="F55" s="1"/>
    </row>
    <row r="56" spans="1:6" ht="14.25" customHeight="1" thickBot="1">
      <c r="A56" s="68"/>
      <c r="B56" s="69"/>
      <c r="C56" s="68"/>
      <c r="D56" s="68"/>
      <c r="E56" s="2"/>
      <c r="F56" s="1"/>
    </row>
    <row r="57" spans="1:6" ht="14.25" customHeight="1">
      <c r="A57" s="70"/>
      <c r="B57" s="71" t="s">
        <v>49</v>
      </c>
      <c r="C57" s="72"/>
      <c r="D57" s="2"/>
      <c r="F57" s="1"/>
    </row>
    <row r="58" spans="1:6" ht="14.25" customHeight="1">
      <c r="A58" s="32" t="s">
        <v>50</v>
      </c>
      <c r="B58" s="33" t="s">
        <v>51</v>
      </c>
      <c r="C58" s="34" t="s">
        <v>13</v>
      </c>
      <c r="D58" s="2"/>
      <c r="F58" s="1"/>
    </row>
    <row r="59" spans="1:6" ht="24">
      <c r="A59" s="35" t="s">
        <v>14</v>
      </c>
      <c r="B59" s="73" t="s">
        <v>160</v>
      </c>
      <c r="C59" s="38">
        <v>0</v>
      </c>
      <c r="D59" s="2"/>
      <c r="F59" s="1"/>
    </row>
    <row r="60" spans="1:6" ht="14.25" customHeight="1">
      <c r="A60" s="35" t="s">
        <v>16</v>
      </c>
      <c r="B60" s="36" t="s">
        <v>120</v>
      </c>
      <c r="C60" s="38">
        <f>((18*20.88)-(18*20.88*10%))</f>
        <v>338.256</v>
      </c>
      <c r="D60" s="2"/>
      <c r="F60" s="1"/>
    </row>
    <row r="61" spans="1:6" ht="14.25" customHeight="1">
      <c r="A61" s="35" t="s">
        <v>18</v>
      </c>
      <c r="B61" s="36" t="s">
        <v>121</v>
      </c>
      <c r="C61" s="38">
        <v>13</v>
      </c>
      <c r="D61" s="2"/>
      <c r="F61" s="1"/>
    </row>
    <row r="62" spans="1:6" ht="14.25" customHeight="1">
      <c r="A62" s="35" t="s">
        <v>20</v>
      </c>
      <c r="B62" s="36" t="s">
        <v>113</v>
      </c>
      <c r="C62" s="38">
        <v>0</v>
      </c>
      <c r="D62" s="2"/>
      <c r="F62" s="1"/>
    </row>
    <row r="63" spans="1:6" ht="14.25" customHeight="1" thickBot="1">
      <c r="A63" s="42"/>
      <c r="B63" s="43" t="s">
        <v>53</v>
      </c>
      <c r="C63" s="44">
        <f>SUM(C59:C62)</f>
        <v>351.256</v>
      </c>
      <c r="D63" s="2"/>
      <c r="F63" s="1"/>
    </row>
    <row r="64" spans="1:6" ht="14.25" customHeight="1" thickBot="1">
      <c r="A64" s="68"/>
      <c r="B64" s="74"/>
      <c r="C64" s="75"/>
      <c r="D64" s="11"/>
      <c r="E64" s="2"/>
      <c r="F64" s="1"/>
    </row>
    <row r="65" spans="1:6" ht="14.25" customHeight="1">
      <c r="A65" s="70"/>
      <c r="B65" s="76" t="s">
        <v>54</v>
      </c>
      <c r="C65" s="77"/>
      <c r="D65" s="2"/>
      <c r="F65" s="1"/>
    </row>
    <row r="66" spans="1:6" ht="14.25" customHeight="1">
      <c r="A66" s="35">
        <v>2</v>
      </c>
      <c r="B66" s="78" t="s">
        <v>55</v>
      </c>
      <c r="C66" s="79" t="s">
        <v>29</v>
      </c>
      <c r="D66" s="2"/>
      <c r="F66" s="1"/>
    </row>
    <row r="67" spans="1:6" ht="14.25" customHeight="1">
      <c r="A67" s="35" t="s">
        <v>27</v>
      </c>
      <c r="B67" s="36" t="s">
        <v>28</v>
      </c>
      <c r="C67" s="37">
        <f>C41</f>
        <v>646.247889</v>
      </c>
      <c r="D67" s="2"/>
      <c r="F67" s="1"/>
    </row>
    <row r="68" spans="1:6" ht="14.25" customHeight="1">
      <c r="A68" s="35" t="s">
        <v>34</v>
      </c>
      <c r="B68" s="36" t="s">
        <v>35</v>
      </c>
      <c r="C68" s="37">
        <f>D54+C42</f>
        <v>1379.800926</v>
      </c>
      <c r="D68" s="2"/>
      <c r="F68" s="1"/>
    </row>
    <row r="69" spans="1:6" ht="14.25" customHeight="1">
      <c r="A69" s="35" t="s">
        <v>50</v>
      </c>
      <c r="B69" s="36" t="s">
        <v>51</v>
      </c>
      <c r="C69" s="37">
        <f>C63</f>
        <v>351.256</v>
      </c>
      <c r="D69" s="2"/>
      <c r="F69" s="1"/>
    </row>
    <row r="70" spans="1:6" ht="14.25" customHeight="1" thickBot="1">
      <c r="A70" s="42"/>
      <c r="B70" s="80" t="s">
        <v>32</v>
      </c>
      <c r="C70" s="81">
        <f>SUM(C67:C69)</f>
        <v>2377.304815</v>
      </c>
      <c r="D70" s="2"/>
      <c r="F70" s="1"/>
    </row>
    <row r="71" spans="2:6" ht="14.25" customHeight="1" thickBot="1">
      <c r="B71" s="13"/>
      <c r="C71" s="11"/>
      <c r="D71" s="11"/>
      <c r="E71" s="2"/>
      <c r="F71" s="1"/>
    </row>
    <row r="72" spans="1:6" ht="14.25" customHeight="1">
      <c r="A72" s="83"/>
      <c r="B72" s="84" t="s">
        <v>117</v>
      </c>
      <c r="C72" s="85"/>
      <c r="D72" s="2"/>
      <c r="F72" s="1"/>
    </row>
    <row r="73" spans="1:6" ht="14.25" customHeight="1">
      <c r="A73" s="86">
        <v>3</v>
      </c>
      <c r="B73" s="87" t="s">
        <v>56</v>
      </c>
      <c r="C73" s="88" t="s">
        <v>13</v>
      </c>
      <c r="D73" s="2"/>
      <c r="F73" s="1"/>
    </row>
    <row r="74" spans="1:6" ht="14.25" customHeight="1">
      <c r="A74" s="89" t="s">
        <v>14</v>
      </c>
      <c r="B74" s="90" t="s">
        <v>57</v>
      </c>
      <c r="C74" s="126">
        <f>((C34+C39+C40)/12)*5%</f>
        <v>15.872824537500001</v>
      </c>
      <c r="D74" s="2"/>
      <c r="F74" s="1"/>
    </row>
    <row r="75" spans="1:6" ht="14.25" customHeight="1">
      <c r="A75" s="89" t="s">
        <v>16</v>
      </c>
      <c r="B75" s="90" t="s">
        <v>58</v>
      </c>
      <c r="C75" s="91">
        <f>((C34+C39)/12)*5%*8%</f>
        <v>1.1422423529999999</v>
      </c>
      <c r="D75" s="2"/>
      <c r="F75" s="1"/>
    </row>
    <row r="76" spans="1:6" ht="14.25" customHeight="1">
      <c r="A76" s="89" t="s">
        <v>18</v>
      </c>
      <c r="B76" s="90" t="s">
        <v>59</v>
      </c>
      <c r="C76" s="91">
        <v>0</v>
      </c>
      <c r="D76" s="2"/>
      <c r="F76" s="1"/>
    </row>
    <row r="77" spans="1:6" ht="14.25" customHeight="1">
      <c r="A77" s="89" t="s">
        <v>20</v>
      </c>
      <c r="B77" s="90" t="s">
        <v>60</v>
      </c>
      <c r="C77" s="91">
        <f>(((C34+C61)/30/12)*7)</f>
        <v>61.76002777777778</v>
      </c>
      <c r="D77" s="2"/>
      <c r="F77" s="1"/>
    </row>
    <row r="78" spans="1:6" ht="22.5">
      <c r="A78" s="89" t="s">
        <v>22</v>
      </c>
      <c r="B78" s="90" t="s">
        <v>61</v>
      </c>
      <c r="C78" s="92">
        <f>(C34/30/12*7)*8%</f>
        <v>4.92058</v>
      </c>
      <c r="D78" s="2"/>
      <c r="F78" s="1"/>
    </row>
    <row r="79" spans="1:6" ht="14.25" customHeight="1">
      <c r="A79" s="89" t="s">
        <v>23</v>
      </c>
      <c r="B79" s="90" t="s">
        <v>62</v>
      </c>
      <c r="C79" s="91">
        <f>C34*4%</f>
        <v>126.5292</v>
      </c>
      <c r="D79" s="2"/>
      <c r="F79" s="1"/>
    </row>
    <row r="80" spans="1:6" ht="14.25" customHeight="1">
      <c r="A80" s="93"/>
      <c r="B80" s="87" t="s">
        <v>47</v>
      </c>
      <c r="C80" s="94">
        <f>SUM(C74:C79)</f>
        <v>210.22487466827778</v>
      </c>
      <c r="D80" s="2"/>
      <c r="F80" s="1"/>
    </row>
    <row r="81" spans="5:6" ht="14.25" customHeight="1" thickBot="1">
      <c r="E81" s="2"/>
      <c r="F81" s="1"/>
    </row>
    <row r="82" spans="1:6" ht="14.25" customHeight="1">
      <c r="A82" s="5"/>
      <c r="B82" s="82" t="s">
        <v>116</v>
      </c>
      <c r="C82" s="14"/>
      <c r="D82" s="31"/>
      <c r="F82" s="1"/>
    </row>
    <row r="83" spans="1:6" ht="14.25" customHeight="1">
      <c r="A83" s="45"/>
      <c r="B83" s="78" t="s">
        <v>64</v>
      </c>
      <c r="C83" s="34"/>
      <c r="D83" s="2"/>
      <c r="F83" s="1"/>
    </row>
    <row r="84" spans="1:6" ht="14.25" customHeight="1">
      <c r="A84" s="32" t="s">
        <v>65</v>
      </c>
      <c r="B84" s="95" t="s">
        <v>66</v>
      </c>
      <c r="C84" s="96" t="s">
        <v>13</v>
      </c>
      <c r="D84" s="2"/>
      <c r="F84" s="1"/>
    </row>
    <row r="85" spans="1:6" ht="14.25" customHeight="1">
      <c r="A85" s="35" t="s">
        <v>14</v>
      </c>
      <c r="B85" s="97" t="s">
        <v>67</v>
      </c>
      <c r="C85" s="98">
        <v>0</v>
      </c>
      <c r="D85" s="2"/>
      <c r="F85" s="1"/>
    </row>
    <row r="86" spans="1:6" ht="14.25" customHeight="1">
      <c r="A86" s="35" t="s">
        <v>16</v>
      </c>
      <c r="B86" s="97" t="s">
        <v>109</v>
      </c>
      <c r="C86" s="98">
        <f>(((C34+C70+C80+C89+C108)-(C59-C60-C107))/30*2.96)/12</f>
        <v>53.18813132961353</v>
      </c>
      <c r="D86" s="2"/>
      <c r="F86" s="1"/>
    </row>
    <row r="87" spans="1:6" ht="14.25" customHeight="1">
      <c r="A87" s="35" t="s">
        <v>18</v>
      </c>
      <c r="B87" s="97" t="s">
        <v>110</v>
      </c>
      <c r="C87" s="98">
        <f>(((C34+C70+C80+C89+C108)-(C59-C60-C107))/30*5*1.5%)/12</f>
        <v>1.34767224652737</v>
      </c>
      <c r="D87" s="2"/>
      <c r="F87" s="1"/>
    </row>
    <row r="88" spans="1:6" ht="14.25" customHeight="1">
      <c r="A88" s="35" t="s">
        <v>20</v>
      </c>
      <c r="B88" s="97" t="s">
        <v>111</v>
      </c>
      <c r="C88" s="98">
        <f>(((C34+C70+C80+C89+C108)-(C59-C60-C107))/30*15*0.78%)/12</f>
        <v>2.1023687045826978</v>
      </c>
      <c r="D88" s="2"/>
      <c r="F88" s="1"/>
    </row>
    <row r="89" spans="1:6" ht="14.25" customHeight="1">
      <c r="A89" s="35" t="s">
        <v>22</v>
      </c>
      <c r="B89" s="97" t="s">
        <v>114</v>
      </c>
      <c r="C89" s="98">
        <f>(((C40*3.95/12)+(C61*3.95*0.0865%))/12+((C34+C39)*39.8%*3.95)*0.0865%/12)</f>
        <v>10.891093663098134</v>
      </c>
      <c r="D89" s="30"/>
      <c r="F89" s="1"/>
    </row>
    <row r="90" spans="1:6" ht="14.25" customHeight="1">
      <c r="A90" s="35" t="s">
        <v>23</v>
      </c>
      <c r="B90" s="99" t="s">
        <v>68</v>
      </c>
      <c r="C90" s="98">
        <v>0</v>
      </c>
      <c r="D90" s="2"/>
      <c r="F90" s="1"/>
    </row>
    <row r="91" spans="1:6" ht="14.25" customHeight="1" thickBot="1">
      <c r="A91" s="42"/>
      <c r="B91" s="100" t="s">
        <v>47</v>
      </c>
      <c r="C91" s="50">
        <f>SUM(C85:C90)</f>
        <v>67.52926594382173</v>
      </c>
      <c r="D91" s="2"/>
      <c r="F91" s="1"/>
    </row>
    <row r="92" spans="1:6" ht="14.25" customHeight="1" thickBot="1">
      <c r="A92" s="68"/>
      <c r="B92" s="68"/>
      <c r="C92" s="68"/>
      <c r="E92" s="2"/>
      <c r="F92" s="1"/>
    </row>
    <row r="93" spans="1:6" ht="14.25" customHeight="1">
      <c r="A93" s="101"/>
      <c r="B93" s="171" t="s">
        <v>69</v>
      </c>
      <c r="C93" s="171"/>
      <c r="D93" s="2"/>
      <c r="F93" s="1"/>
    </row>
    <row r="94" spans="1:6" ht="14.25" customHeight="1">
      <c r="A94" s="32" t="s">
        <v>70</v>
      </c>
      <c r="B94" s="95" t="s">
        <v>71</v>
      </c>
      <c r="C94" s="96" t="s">
        <v>13</v>
      </c>
      <c r="D94" s="2"/>
      <c r="F94" s="1"/>
    </row>
    <row r="95" spans="1:6" ht="14.25" customHeight="1">
      <c r="A95" s="35" t="s">
        <v>14</v>
      </c>
      <c r="B95" s="102" t="s">
        <v>72</v>
      </c>
      <c r="C95" s="124">
        <v>0</v>
      </c>
      <c r="D95" s="2"/>
      <c r="F95" s="1"/>
    </row>
    <row r="96" spans="1:6" ht="14.25" customHeight="1" thickBot="1">
      <c r="A96" s="47"/>
      <c r="B96" s="100" t="s">
        <v>47</v>
      </c>
      <c r="C96" s="103">
        <v>0</v>
      </c>
      <c r="D96" s="15"/>
      <c r="F96" s="1"/>
    </row>
    <row r="97" spans="1:6" ht="14.25" customHeight="1" thickBot="1">
      <c r="A97" s="68"/>
      <c r="B97" s="68"/>
      <c r="C97" s="68"/>
      <c r="E97" s="2"/>
      <c r="F97" s="1"/>
    </row>
    <row r="98" spans="1:6" ht="14.25" customHeight="1">
      <c r="A98" s="70"/>
      <c r="B98" s="76" t="s">
        <v>73</v>
      </c>
      <c r="C98" s="77"/>
      <c r="D98" s="2"/>
      <c r="F98" s="1"/>
    </row>
    <row r="99" spans="1:6" ht="14.25" customHeight="1">
      <c r="A99" s="32">
        <v>4</v>
      </c>
      <c r="B99" s="78" t="s">
        <v>74</v>
      </c>
      <c r="C99" s="79" t="s">
        <v>29</v>
      </c>
      <c r="D99" s="2"/>
      <c r="F99" s="1"/>
    </row>
    <row r="100" spans="1:4" s="17" customFormat="1" ht="15" customHeight="1">
      <c r="A100" s="35" t="s">
        <v>65</v>
      </c>
      <c r="B100" s="36" t="s">
        <v>66</v>
      </c>
      <c r="C100" s="37">
        <f>C91</f>
        <v>67.52926594382173</v>
      </c>
      <c r="D100" s="16"/>
    </row>
    <row r="101" spans="1:6" ht="15" customHeight="1">
      <c r="A101" s="35" t="s">
        <v>70</v>
      </c>
      <c r="B101" s="36" t="s">
        <v>71</v>
      </c>
      <c r="C101" s="37">
        <v>0</v>
      </c>
      <c r="D101" s="2"/>
      <c r="F101" s="1"/>
    </row>
    <row r="102" spans="1:6" ht="15" customHeight="1" thickBot="1">
      <c r="A102" s="42"/>
      <c r="B102" s="80" t="s">
        <v>32</v>
      </c>
      <c r="C102" s="44">
        <f>SUM(C100:C101)</f>
        <v>67.52926594382173</v>
      </c>
      <c r="D102" s="2"/>
      <c r="F102" s="1"/>
    </row>
    <row r="103" ht="15" customHeight="1" thickBot="1">
      <c r="F103" s="1"/>
    </row>
    <row r="104" spans="1:6" ht="15" customHeight="1">
      <c r="A104" s="18"/>
      <c r="B104" s="82" t="s">
        <v>75</v>
      </c>
      <c r="C104" s="12"/>
      <c r="F104" s="1"/>
    </row>
    <row r="105" spans="1:6" ht="15" customHeight="1">
      <c r="A105" s="104">
        <v>5</v>
      </c>
      <c r="B105" s="105" t="s">
        <v>76</v>
      </c>
      <c r="C105" s="34" t="s">
        <v>13</v>
      </c>
      <c r="F105" s="1"/>
    </row>
    <row r="106" spans="1:6" ht="15" customHeight="1">
      <c r="A106" s="106" t="s">
        <v>14</v>
      </c>
      <c r="B106" s="107" t="s">
        <v>77</v>
      </c>
      <c r="C106" s="38">
        <v>37.48</v>
      </c>
      <c r="F106" s="1"/>
    </row>
    <row r="107" spans="1:6" ht="15" customHeight="1">
      <c r="A107" s="106" t="s">
        <v>16</v>
      </c>
      <c r="B107" s="107" t="s">
        <v>78</v>
      </c>
      <c r="C107" s="134">
        <v>3.29</v>
      </c>
      <c r="D107" s="133"/>
      <c r="F107" s="133"/>
    </row>
    <row r="108" spans="1:6" ht="15" customHeight="1" thickBot="1">
      <c r="A108" s="108"/>
      <c r="B108" s="109" t="s">
        <v>79</v>
      </c>
      <c r="C108" s="110">
        <f>41.84+314.2+9.59</f>
        <v>365.62999999999994</v>
      </c>
      <c r="F108" s="1"/>
    </row>
    <row r="109" spans="1:6" ht="15" customHeight="1" thickBot="1">
      <c r="A109" s="19"/>
      <c r="B109" s="20"/>
      <c r="C109" s="21"/>
      <c r="D109" s="21"/>
      <c r="F109" s="1"/>
    </row>
    <row r="110" spans="1:6" ht="15" customHeight="1">
      <c r="A110" s="22"/>
      <c r="B110" s="174" t="s">
        <v>80</v>
      </c>
      <c r="C110" s="175"/>
      <c r="D110" s="176"/>
      <c r="F110" s="1"/>
    </row>
    <row r="111" spans="1:6" ht="15" customHeight="1">
      <c r="A111" s="104">
        <v>6</v>
      </c>
      <c r="B111" s="95" t="s">
        <v>82</v>
      </c>
      <c r="C111" s="111" t="s">
        <v>36</v>
      </c>
      <c r="D111" s="96" t="s">
        <v>13</v>
      </c>
      <c r="F111" s="1"/>
    </row>
    <row r="112" spans="1:6" ht="15" customHeight="1">
      <c r="A112" s="106" t="s">
        <v>14</v>
      </c>
      <c r="B112" s="112" t="s">
        <v>83</v>
      </c>
      <c r="C112" s="113">
        <v>7.01</v>
      </c>
      <c r="D112" s="49">
        <f>(C129)*C112/100</f>
        <v>433.4927187884082</v>
      </c>
      <c r="F112" s="1"/>
    </row>
    <row r="113" spans="1:6" ht="15" customHeight="1">
      <c r="A113" s="106" t="s">
        <v>16</v>
      </c>
      <c r="B113" s="112" t="s">
        <v>84</v>
      </c>
      <c r="C113" s="113">
        <v>5.18</v>
      </c>
      <c r="D113" s="49">
        <f>(C129+D112)*C113/100</f>
        <v>342.7819247339463</v>
      </c>
      <c r="F113" s="1"/>
    </row>
    <row r="114" spans="1:6" ht="15" customHeight="1">
      <c r="A114" s="106" t="s">
        <v>18</v>
      </c>
      <c r="B114" s="112" t="s">
        <v>85</v>
      </c>
      <c r="C114" s="113"/>
      <c r="D114" s="49"/>
      <c r="F114" s="1"/>
    </row>
    <row r="115" spans="1:6" ht="15" customHeight="1">
      <c r="A115" s="106"/>
      <c r="B115" s="112" t="s">
        <v>86</v>
      </c>
      <c r="C115" s="113">
        <f>3+0.65</f>
        <v>3.65</v>
      </c>
      <c r="D115" s="49">
        <f>((C129+D112+D113)/(1-(C115+C117)/100))*C115/100</f>
        <v>278.10297358336896</v>
      </c>
      <c r="F115" s="1"/>
    </row>
    <row r="116" spans="1:6" ht="15" customHeight="1">
      <c r="A116" s="106"/>
      <c r="B116" s="112" t="s">
        <v>87</v>
      </c>
      <c r="C116" s="113"/>
      <c r="D116" s="49"/>
      <c r="F116" s="1"/>
    </row>
    <row r="117" spans="1:6" ht="15" customHeight="1">
      <c r="A117" s="106"/>
      <c r="B117" s="112" t="s">
        <v>88</v>
      </c>
      <c r="C117" s="114">
        <v>5</v>
      </c>
      <c r="D117" s="49">
        <f>((C129+D112+D113)/(1-(C115+C117)/100))*C117/100</f>
        <v>380.96297751146443</v>
      </c>
      <c r="F117" s="1"/>
    </row>
    <row r="118" spans="1:6" ht="15" customHeight="1">
      <c r="A118" s="106"/>
      <c r="B118" s="112" t="s">
        <v>89</v>
      </c>
      <c r="C118" s="113"/>
      <c r="D118" s="49"/>
      <c r="F118" s="1"/>
    </row>
    <row r="119" spans="1:6" ht="15" customHeight="1" thickBot="1">
      <c r="A119" s="115"/>
      <c r="B119" s="100" t="s">
        <v>47</v>
      </c>
      <c r="C119" s="116">
        <f>SUM(C112:C118)</f>
        <v>20.84</v>
      </c>
      <c r="D119" s="50">
        <f>SUM(D112:D118)</f>
        <v>1435.340594617188</v>
      </c>
      <c r="F119" s="1"/>
    </row>
    <row r="120" spans="1:6" ht="15" customHeight="1">
      <c r="A120" s="19"/>
      <c r="B120" s="20"/>
      <c r="C120" s="21"/>
      <c r="D120" s="21"/>
      <c r="F120" s="1"/>
    </row>
    <row r="121" spans="1:4" s="17" customFormat="1" ht="15" customHeight="1">
      <c r="A121" s="172" t="s">
        <v>90</v>
      </c>
      <c r="B121" s="172"/>
      <c r="C121" s="172"/>
      <c r="D121" s="23"/>
    </row>
    <row r="122" spans="1:4" s="17" customFormat="1" ht="15" customHeight="1" thickBot="1">
      <c r="A122" s="1"/>
      <c r="B122" s="23"/>
      <c r="C122" s="1"/>
      <c r="D122" s="1"/>
    </row>
    <row r="123" spans="1:3" s="17" customFormat="1" ht="12.75">
      <c r="A123" s="70"/>
      <c r="B123" s="117" t="s">
        <v>91</v>
      </c>
      <c r="C123" s="118" t="s">
        <v>13</v>
      </c>
    </row>
    <row r="124" spans="1:3" s="17" customFormat="1" ht="15" customHeight="1">
      <c r="A124" s="45" t="s">
        <v>14</v>
      </c>
      <c r="B124" s="112" t="s">
        <v>92</v>
      </c>
      <c r="C124" s="49">
        <f>C34</f>
        <v>3163.23</v>
      </c>
    </row>
    <row r="125" spans="1:3" s="17" customFormat="1" ht="15" customHeight="1">
      <c r="A125" s="45" t="s">
        <v>16</v>
      </c>
      <c r="B125" s="112" t="s">
        <v>93</v>
      </c>
      <c r="C125" s="49">
        <f>C70</f>
        <v>2377.304815</v>
      </c>
    </row>
    <row r="126" spans="1:3" s="17" customFormat="1" ht="15" customHeight="1">
      <c r="A126" s="45" t="s">
        <v>18</v>
      </c>
      <c r="B126" s="112" t="s">
        <v>94</v>
      </c>
      <c r="C126" s="49">
        <f>C80</f>
        <v>210.22487466827778</v>
      </c>
    </row>
    <row r="127" spans="1:3" s="17" customFormat="1" ht="15" customHeight="1">
      <c r="A127" s="45" t="s">
        <v>20</v>
      </c>
      <c r="B127" s="112" t="s">
        <v>63</v>
      </c>
      <c r="C127" s="49">
        <f>C102</f>
        <v>67.52926594382173</v>
      </c>
    </row>
    <row r="128" spans="1:3" s="17" customFormat="1" ht="15" customHeight="1">
      <c r="A128" s="45" t="s">
        <v>22</v>
      </c>
      <c r="B128" s="112" t="s">
        <v>95</v>
      </c>
      <c r="C128" s="49">
        <f>C108</f>
        <v>365.62999999999994</v>
      </c>
    </row>
    <row r="129" spans="1:3" s="17" customFormat="1" ht="15" customHeight="1">
      <c r="A129" s="45"/>
      <c r="B129" s="111" t="s">
        <v>96</v>
      </c>
      <c r="C129" s="119">
        <f>SUM(C124:C128)</f>
        <v>6183.9189556121</v>
      </c>
    </row>
    <row r="130" spans="1:3" s="17" customFormat="1" ht="15" customHeight="1">
      <c r="A130" s="45" t="s">
        <v>23</v>
      </c>
      <c r="B130" s="112" t="s">
        <v>97</v>
      </c>
      <c r="C130" s="49">
        <f>D119</f>
        <v>1435.340594617188</v>
      </c>
    </row>
    <row r="131" spans="1:3" s="17" customFormat="1" ht="12.75">
      <c r="A131" s="45"/>
      <c r="B131" s="95" t="s">
        <v>98</v>
      </c>
      <c r="C131" s="119">
        <f>SUM(C129:C130)</f>
        <v>7619.259550229288</v>
      </c>
    </row>
    <row r="132" spans="1:3" s="17" customFormat="1" ht="15" customHeight="1" thickBot="1">
      <c r="A132" s="42"/>
      <c r="B132" s="120" t="s">
        <v>99</v>
      </c>
      <c r="C132" s="121">
        <f>C131/C34</f>
        <v>2.408696032292716</v>
      </c>
    </row>
    <row r="133" spans="1:5" s="17" customFormat="1" ht="15" customHeight="1">
      <c r="A133" s="1"/>
      <c r="B133" s="23"/>
      <c r="C133" s="1"/>
      <c r="D133" s="1"/>
      <c r="E133" s="1"/>
    </row>
    <row r="134" ht="13.5" thickBot="1"/>
    <row r="135" spans="1:4" ht="12.75">
      <c r="A135" s="22"/>
      <c r="B135" s="174" t="s">
        <v>81</v>
      </c>
      <c r="C135" s="175"/>
      <c r="D135" s="176"/>
    </row>
    <row r="136" spans="1:4" ht="12.75">
      <c r="A136" s="104">
        <v>6</v>
      </c>
      <c r="B136" s="95" t="s">
        <v>82</v>
      </c>
      <c r="C136" s="111" t="s">
        <v>36</v>
      </c>
      <c r="D136" s="96" t="s">
        <v>13</v>
      </c>
    </row>
    <row r="137" spans="1:4" ht="12.75">
      <c r="A137" s="106" t="s">
        <v>14</v>
      </c>
      <c r="B137" s="112" t="s">
        <v>83</v>
      </c>
      <c r="C137" s="113">
        <v>6.88</v>
      </c>
      <c r="D137" s="49">
        <f>(C154)*C137/100</f>
        <v>425.4536241461125</v>
      </c>
    </row>
    <row r="138" spans="1:4" ht="12.75">
      <c r="A138" s="106" t="s">
        <v>16</v>
      </c>
      <c r="B138" s="112" t="s">
        <v>84</v>
      </c>
      <c r="C138" s="113">
        <v>4.49</v>
      </c>
      <c r="D138" s="49">
        <f>(C154+D137)*C138/100</f>
        <v>296.7608288311438</v>
      </c>
    </row>
    <row r="139" spans="1:4" ht="12.75">
      <c r="A139" s="106" t="s">
        <v>18</v>
      </c>
      <c r="B139" s="112" t="s">
        <v>85</v>
      </c>
      <c r="C139" s="113"/>
      <c r="D139" s="49"/>
    </row>
    <row r="140" spans="1:4" ht="12.75">
      <c r="A140" s="106"/>
      <c r="B140" s="112" t="s">
        <v>115</v>
      </c>
      <c r="C140" s="63">
        <f>1.65+7.6</f>
        <v>9.25</v>
      </c>
      <c r="D140" s="49">
        <f>((C154+D137+D138)/(1-(C140+C142)/100))*C140/100</f>
        <v>744.9764901393767</v>
      </c>
    </row>
    <row r="141" spans="1:4" ht="12.75">
      <c r="A141" s="106"/>
      <c r="B141" s="112" t="s">
        <v>87</v>
      </c>
      <c r="C141" s="113"/>
      <c r="D141" s="49"/>
    </row>
    <row r="142" spans="1:4" ht="12.75">
      <c r="A142" s="106"/>
      <c r="B142" s="112" t="s">
        <v>88</v>
      </c>
      <c r="C142" s="114">
        <v>5</v>
      </c>
      <c r="D142" s="49">
        <f>((C154+D137+D138)/(1-(C140+C142)/100))*C142/100</f>
        <v>402.6899946699333</v>
      </c>
    </row>
    <row r="143" spans="1:4" ht="12.75">
      <c r="A143" s="106"/>
      <c r="B143" s="112" t="s">
        <v>89</v>
      </c>
      <c r="C143" s="113"/>
      <c r="D143" s="49"/>
    </row>
    <row r="144" spans="1:4" ht="13.5" thickBot="1">
      <c r="A144" s="115"/>
      <c r="B144" s="100" t="s">
        <v>47</v>
      </c>
      <c r="C144" s="116">
        <f>SUM(C137:C143)</f>
        <v>25.62</v>
      </c>
      <c r="D144" s="50">
        <f>SUM(D137:D143)</f>
        <v>1869.8809377865664</v>
      </c>
    </row>
    <row r="145" spans="1:4" ht="12.75">
      <c r="A145" s="68"/>
      <c r="B145" s="68"/>
      <c r="C145" s="68"/>
      <c r="D145" s="68"/>
    </row>
    <row r="146" spans="1:4" ht="12.75">
      <c r="A146" s="168" t="s">
        <v>90</v>
      </c>
      <c r="B146" s="168"/>
      <c r="C146" s="168"/>
      <c r="D146" s="122"/>
    </row>
    <row r="147" spans="1:4" ht="13.5" thickBot="1">
      <c r="A147" s="68"/>
      <c r="B147" s="123"/>
      <c r="C147" s="68"/>
      <c r="D147" s="122"/>
    </row>
    <row r="148" spans="1:4" ht="12.75">
      <c r="A148" s="70"/>
      <c r="B148" s="117" t="s">
        <v>91</v>
      </c>
      <c r="C148" s="118" t="s">
        <v>13</v>
      </c>
      <c r="D148" s="122"/>
    </row>
    <row r="149" spans="1:4" ht="12.75">
      <c r="A149" s="45" t="s">
        <v>14</v>
      </c>
      <c r="B149" s="112" t="s">
        <v>92</v>
      </c>
      <c r="C149" s="49">
        <f>C124</f>
        <v>3163.23</v>
      </c>
      <c r="D149" s="122"/>
    </row>
    <row r="150" spans="1:4" ht="12.75">
      <c r="A150" s="45" t="s">
        <v>16</v>
      </c>
      <c r="B150" s="112" t="s">
        <v>93</v>
      </c>
      <c r="C150" s="49">
        <f>C125</f>
        <v>2377.304815</v>
      </c>
      <c r="D150" s="122"/>
    </row>
    <row r="151" spans="1:4" ht="12.75">
      <c r="A151" s="45" t="s">
        <v>18</v>
      </c>
      <c r="B151" s="112" t="s">
        <v>94</v>
      </c>
      <c r="C151" s="49">
        <f>C126</f>
        <v>210.22487466827778</v>
      </c>
      <c r="D151" s="122"/>
    </row>
    <row r="152" spans="1:4" ht="12.75">
      <c r="A152" s="45" t="s">
        <v>20</v>
      </c>
      <c r="B152" s="112" t="s">
        <v>63</v>
      </c>
      <c r="C152" s="49">
        <f>C127</f>
        <v>67.52926594382173</v>
      </c>
      <c r="D152" s="122"/>
    </row>
    <row r="153" spans="1:4" ht="12.75">
      <c r="A153" s="45" t="s">
        <v>22</v>
      </c>
      <c r="B153" s="112" t="s">
        <v>95</v>
      </c>
      <c r="C153" s="49">
        <f>C128</f>
        <v>365.62999999999994</v>
      </c>
      <c r="D153" s="122"/>
    </row>
    <row r="154" spans="1:4" ht="12.75">
      <c r="A154" s="45"/>
      <c r="B154" s="111" t="s">
        <v>96</v>
      </c>
      <c r="C154" s="119">
        <f>SUM(C149:C153)</f>
        <v>6183.9189556121</v>
      </c>
      <c r="D154" s="122"/>
    </row>
    <row r="155" spans="1:4" ht="12.75">
      <c r="A155" s="45" t="s">
        <v>23</v>
      </c>
      <c r="B155" s="112" t="s">
        <v>97</v>
      </c>
      <c r="C155" s="49">
        <f>D144</f>
        <v>1869.8809377865664</v>
      </c>
      <c r="D155" s="122"/>
    </row>
    <row r="156" spans="1:4" ht="12.75">
      <c r="A156" s="45"/>
      <c r="B156" s="95" t="s">
        <v>98</v>
      </c>
      <c r="C156" s="119">
        <f>SUM(C154:C155)</f>
        <v>8053.799893398666</v>
      </c>
      <c r="D156" s="122"/>
    </row>
    <row r="157" spans="1:4" ht="13.5" thickBot="1">
      <c r="A157" s="42"/>
      <c r="B157" s="120" t="s">
        <v>99</v>
      </c>
      <c r="C157" s="121">
        <f>C156/C34</f>
        <v>2.546068383708635</v>
      </c>
      <c r="D157" s="122"/>
    </row>
  </sheetData>
  <sheetProtection selectLockedCells="1" selectUnlockedCells="1"/>
  <mergeCells count="30">
    <mergeCell ref="B135:D135"/>
    <mergeCell ref="A146:C146"/>
    <mergeCell ref="B36:C36"/>
    <mergeCell ref="B37:C37"/>
    <mergeCell ref="A44:D44"/>
    <mergeCell ref="B93:C93"/>
    <mergeCell ref="B110:D110"/>
    <mergeCell ref="A121:C121"/>
    <mergeCell ref="C15:E15"/>
    <mergeCell ref="C16:E16"/>
    <mergeCell ref="C17:E17"/>
    <mergeCell ref="C18:E18"/>
    <mergeCell ref="A26:C26"/>
    <mergeCell ref="B35:D35"/>
    <mergeCell ref="C19:E19"/>
    <mergeCell ref="C20:E20"/>
    <mergeCell ref="C21:E21"/>
    <mergeCell ref="C22:E22"/>
    <mergeCell ref="B7:E7"/>
    <mergeCell ref="B8:E8"/>
    <mergeCell ref="B10:E10"/>
    <mergeCell ref="C12:E12"/>
    <mergeCell ref="C13:E13"/>
    <mergeCell ref="C14:E14"/>
    <mergeCell ref="B1:E1"/>
    <mergeCell ref="B2:E2"/>
    <mergeCell ref="B3:E3"/>
    <mergeCell ref="B4:E4"/>
    <mergeCell ref="B5:E5"/>
    <mergeCell ref="B6:E6"/>
  </mergeCells>
  <printOptions horizontalCentered="1" verticalCentered="1"/>
  <pageMargins left="0" right="0" top="0.9491666666666667" bottom="0.5905511811023623" header="0.5511811023622047" footer="0.35433070866141736"/>
  <pageSetup firstPageNumber="1" useFirstPageNumber="1" horizontalDpi="600" verticalDpi="600" orientation="portrait" paperSize="9" scale="85" r:id="rId1"/>
  <headerFooter alignWithMargins="0">
    <oddHeader xml:space="preserve">&amp;C&amp;"-,Regular"&amp;9PROCESSO 23069.154415/2020-65
PREGÃO ELETRÔNICO XXX/2020    </oddHeader>
    <oddFooter>&amp;L&amp;"-,Regular"&amp;9ANEXO IV-A5</oddFooter>
  </headerFooter>
  <rowBreaks count="2" manualBreakCount="2">
    <brk id="56" max="5" man="1"/>
    <brk id="109" max="5" man="1"/>
  </rowBreaks>
  <colBreaks count="1" manualBreakCount="1">
    <brk id="7" max="1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SheetLayoutView="100" workbookViewId="0" topLeftCell="A1">
      <selection activeCell="E17" sqref="E17"/>
    </sheetView>
  </sheetViews>
  <sheetFormatPr defaultColWidth="9.140625" defaultRowHeight="12.75"/>
  <cols>
    <col min="1" max="1" width="5.00390625" style="0" bestFit="1" customWidth="1"/>
    <col min="2" max="2" width="17.57421875" style="0" bestFit="1" customWidth="1"/>
    <col min="3" max="3" width="7.28125" style="0" bestFit="1" customWidth="1"/>
    <col min="4" max="4" width="13.57421875" style="0" bestFit="1" customWidth="1"/>
    <col min="5" max="5" width="25.7109375" style="0" bestFit="1" customWidth="1"/>
    <col min="6" max="6" width="14.28125" style="24" bestFit="1" customWidth="1"/>
    <col min="7" max="7" width="16.57421875" style="0" bestFit="1" customWidth="1"/>
    <col min="8" max="8" width="15.7109375" style="0" bestFit="1" customWidth="1"/>
    <col min="9" max="9" width="11.00390625" style="0" hidden="1" customWidth="1"/>
  </cols>
  <sheetData>
    <row r="1" spans="1:7" ht="12.75">
      <c r="A1" s="183" t="s">
        <v>0</v>
      </c>
      <c r="B1" s="183"/>
      <c r="C1" s="183"/>
      <c r="D1" s="183"/>
      <c r="E1" s="183"/>
      <c r="F1" s="183"/>
      <c r="G1" s="183"/>
    </row>
    <row r="2" spans="1:7" ht="12.75">
      <c r="A2" s="184" t="s">
        <v>102</v>
      </c>
      <c r="B2" s="184"/>
      <c r="C2" s="184"/>
      <c r="D2" s="184"/>
      <c r="E2" s="184"/>
      <c r="F2" s="184"/>
      <c r="G2" s="184"/>
    </row>
    <row r="3" spans="1:7" ht="12.75">
      <c r="A3" s="184" t="s">
        <v>103</v>
      </c>
      <c r="B3" s="184"/>
      <c r="C3" s="184"/>
      <c r="D3" s="184"/>
      <c r="E3" s="184"/>
      <c r="F3" s="184"/>
      <c r="G3" s="184"/>
    </row>
    <row r="4" spans="1:7" ht="12.75">
      <c r="A4" s="182" t="s">
        <v>172</v>
      </c>
      <c r="B4" s="182"/>
      <c r="C4" s="182"/>
      <c r="D4" s="182"/>
      <c r="E4" s="182"/>
      <c r="F4" s="182"/>
      <c r="G4" s="182"/>
    </row>
    <row r="5" spans="1:7" ht="31.5" customHeight="1">
      <c r="A5" s="185" t="s">
        <v>100</v>
      </c>
      <c r="B5" s="185"/>
      <c r="C5" s="185"/>
      <c r="D5" s="185"/>
      <c r="E5" s="185"/>
      <c r="F5" s="185"/>
      <c r="G5" s="185"/>
    </row>
    <row r="6" spans="1:7" ht="12.75">
      <c r="A6" s="186" t="str">
        <f>'Supervisor A5'!B6</f>
        <v>Contratação de empresa especializada na prestação dos serviços de apoio de Transporte</v>
      </c>
      <c r="B6" s="186"/>
      <c r="C6" s="186"/>
      <c r="D6" s="186"/>
      <c r="E6" s="186"/>
      <c r="F6" s="186"/>
      <c r="G6" s="186"/>
    </row>
    <row r="7" spans="1:7" ht="12.75">
      <c r="A7" s="182" t="s">
        <v>130</v>
      </c>
      <c r="B7" s="182"/>
      <c r="C7" s="182"/>
      <c r="D7" s="182"/>
      <c r="E7" s="182"/>
      <c r="F7" s="182"/>
      <c r="G7" s="182"/>
    </row>
    <row r="8" spans="1:7" ht="12.75">
      <c r="A8" s="150"/>
      <c r="B8" s="150"/>
      <c r="C8" s="150"/>
      <c r="D8" s="150"/>
      <c r="E8" s="150"/>
      <c r="F8" s="150"/>
      <c r="G8" s="150"/>
    </row>
    <row r="9" spans="1:7" ht="13.5">
      <c r="A9" s="181" t="s">
        <v>123</v>
      </c>
      <c r="B9" s="181"/>
      <c r="C9" s="181"/>
      <c r="D9" s="181"/>
      <c r="E9" s="181"/>
      <c r="F9" s="181"/>
      <c r="G9" s="181"/>
    </row>
    <row r="10" spans="1:9" ht="27">
      <c r="A10" s="135" t="s">
        <v>104</v>
      </c>
      <c r="B10" s="135" t="s">
        <v>105</v>
      </c>
      <c r="C10" s="135" t="s">
        <v>124</v>
      </c>
      <c r="D10" s="135" t="s">
        <v>106</v>
      </c>
      <c r="E10" s="135" t="s">
        <v>125</v>
      </c>
      <c r="F10" s="135" t="s">
        <v>108</v>
      </c>
      <c r="G10" s="135" t="s">
        <v>122</v>
      </c>
      <c r="I10" s="25"/>
    </row>
    <row r="11" spans="1:8" ht="14.25">
      <c r="A11" s="178">
        <v>1</v>
      </c>
      <c r="B11" s="142" t="s">
        <v>131</v>
      </c>
      <c r="C11" s="143">
        <v>23</v>
      </c>
      <c r="D11" s="143">
        <f>C11</f>
        <v>23</v>
      </c>
      <c r="E11" s="144">
        <f>'Mot. Onibus A1'!C160</f>
        <v>9328.194778238189</v>
      </c>
      <c r="F11" s="144">
        <f>E11*C11</f>
        <v>214548.47989947835</v>
      </c>
      <c r="G11" s="145">
        <f aca="true" t="shared" si="0" ref="G11:G16">F11*12</f>
        <v>2574581.75879374</v>
      </c>
      <c r="H11" s="27"/>
    </row>
    <row r="12" spans="1:9" ht="28.5">
      <c r="A12" s="179"/>
      <c r="B12" s="142" t="s">
        <v>132</v>
      </c>
      <c r="C12" s="143">
        <v>19</v>
      </c>
      <c r="D12" s="143">
        <f>C12</f>
        <v>19</v>
      </c>
      <c r="E12" s="144">
        <f>'Mot. Utilitário A2'!C162</f>
        <v>6677.148685703909</v>
      </c>
      <c r="F12" s="144">
        <f>E12*C12</f>
        <v>126865.82502837427</v>
      </c>
      <c r="G12" s="145">
        <f t="shared" si="0"/>
        <v>1522389.9003404912</v>
      </c>
      <c r="H12" s="27"/>
      <c r="I12" s="26"/>
    </row>
    <row r="13" spans="1:9" ht="57">
      <c r="A13" s="179"/>
      <c r="B13" s="142" t="s">
        <v>133</v>
      </c>
      <c r="C13" s="142">
        <v>1</v>
      </c>
      <c r="D13" s="143">
        <f>C13</f>
        <v>1</v>
      </c>
      <c r="E13" s="144">
        <f>'Mecanico A3'!C156</f>
        <v>6019.336954319035</v>
      </c>
      <c r="F13" s="144">
        <f>E13*C13</f>
        <v>6019.336954319035</v>
      </c>
      <c r="G13" s="145">
        <f t="shared" si="0"/>
        <v>72232.04345182842</v>
      </c>
      <c r="H13" s="27"/>
      <c r="I13" s="26"/>
    </row>
    <row r="14" spans="1:9" ht="14.25">
      <c r="A14" s="179"/>
      <c r="B14" s="142" t="s">
        <v>134</v>
      </c>
      <c r="C14" s="142">
        <v>2</v>
      </c>
      <c r="D14" s="143">
        <v>2</v>
      </c>
      <c r="E14" s="144">
        <f>'Lavador A4'!C156</f>
        <v>4488.466275505925</v>
      </c>
      <c r="F14" s="144">
        <f>E14*C14</f>
        <v>8976.93255101185</v>
      </c>
      <c r="G14" s="145">
        <f t="shared" si="0"/>
        <v>107723.1906121422</v>
      </c>
      <c r="H14" s="27"/>
      <c r="I14" s="26"/>
    </row>
    <row r="15" spans="1:9" ht="28.5">
      <c r="A15" s="179"/>
      <c r="B15" s="142" t="s">
        <v>135</v>
      </c>
      <c r="C15" s="142">
        <v>1</v>
      </c>
      <c r="D15" s="143">
        <f>C15</f>
        <v>1</v>
      </c>
      <c r="E15" s="144">
        <f>'Supervisor A5'!C156</f>
        <v>8053.799893398666</v>
      </c>
      <c r="F15" s="144">
        <f>E15*C15</f>
        <v>8053.799893398666</v>
      </c>
      <c r="G15" s="145">
        <f t="shared" si="0"/>
        <v>96645.598720784</v>
      </c>
      <c r="H15" s="27"/>
      <c r="I15" s="26"/>
    </row>
    <row r="16" spans="1:9" ht="14.25">
      <c r="A16" s="180"/>
      <c r="B16" s="142" t="s">
        <v>161</v>
      </c>
      <c r="C16" s="142"/>
      <c r="D16" s="143">
        <v>200</v>
      </c>
      <c r="E16" s="144">
        <v>150</v>
      </c>
      <c r="F16" s="144">
        <f>E16*D16</f>
        <v>30000</v>
      </c>
      <c r="G16" s="145">
        <f>F16*12</f>
        <v>360000</v>
      </c>
      <c r="H16" s="27"/>
      <c r="I16" s="26"/>
    </row>
    <row r="17" spans="1:9" ht="14.25">
      <c r="A17" s="142"/>
      <c r="B17" s="146" t="s">
        <v>47</v>
      </c>
      <c r="C17" s="147">
        <f>SUM(C11:C15)</f>
        <v>46</v>
      </c>
      <c r="D17" s="147">
        <f>SUM(D11:D15)</f>
        <v>46</v>
      </c>
      <c r="E17" s="142" t="s">
        <v>107</v>
      </c>
      <c r="F17" s="148">
        <f>SUM(F11:F16)</f>
        <v>394464.3743265821</v>
      </c>
      <c r="G17" s="149">
        <f>SUM(G11:G16)</f>
        <v>4733572.491918987</v>
      </c>
      <c r="H17" s="27"/>
      <c r="I17" s="26"/>
    </row>
    <row r="18" spans="6:8" ht="12.75">
      <c r="F18" s="28"/>
      <c r="G18" s="29"/>
      <c r="H18" s="27"/>
    </row>
    <row r="19" spans="1:7" ht="12.75">
      <c r="A19" s="177" t="s">
        <v>162</v>
      </c>
      <c r="B19" s="177"/>
      <c r="C19" s="177"/>
      <c r="D19" s="177"/>
      <c r="E19" s="177"/>
      <c r="F19" s="177"/>
      <c r="G19" s="177"/>
    </row>
    <row r="20" spans="1:7" ht="12.75">
      <c r="A20" s="177"/>
      <c r="B20" s="177"/>
      <c r="C20" s="177"/>
      <c r="D20" s="177"/>
      <c r="E20" s="177"/>
      <c r="F20" s="177"/>
      <c r="G20" s="177"/>
    </row>
    <row r="24" ht="12.75">
      <c r="G24" s="27"/>
    </row>
  </sheetData>
  <sheetProtection/>
  <mergeCells count="10">
    <mergeCell ref="A19:G20"/>
    <mergeCell ref="A11:A16"/>
    <mergeCell ref="A9:G9"/>
    <mergeCell ref="A7:G7"/>
    <mergeCell ref="A1:G1"/>
    <mergeCell ref="A2:G2"/>
    <mergeCell ref="A3:G3"/>
    <mergeCell ref="A4:G4"/>
    <mergeCell ref="A5:G5"/>
    <mergeCell ref="A6:G6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1"/>
  <headerFooter>
    <oddHeader xml:space="preserve">&amp;C&amp;"-,Regular"&amp;9PROCESSO 23069.154415/2020-65
PREGÃO ELETRÔNICO XXX/2020    </oddHeader>
    <oddFooter>&amp;L&amp;"-,Regular"&amp;9ANEXO IV-A6 - Custo total MÃO DE OBRA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 PROAES</dc:creator>
  <cp:keywords/>
  <dc:description/>
  <cp:lastModifiedBy>JoaoPaulo</cp:lastModifiedBy>
  <cp:lastPrinted>2020-06-24T01:18:12Z</cp:lastPrinted>
  <dcterms:created xsi:type="dcterms:W3CDTF">2019-04-08T21:25:24Z</dcterms:created>
  <dcterms:modified xsi:type="dcterms:W3CDTF">2020-06-24T01:21:58Z</dcterms:modified>
  <cp:category/>
  <cp:version/>
  <cp:contentType/>
  <cp:contentStatus/>
</cp:coreProperties>
</file>