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E:\Desktop\PE 25-2023 Terceirização Chiller\Edital - 1ª Alteração\"/>
    </mc:Choice>
  </mc:AlternateContent>
  <xr:revisionPtr revIDLastSave="0" documentId="8_{C6306B35-A478-428C-97F2-EA0F02196E6B}" xr6:coauthVersionLast="47" xr6:coauthVersionMax="47" xr10:uidLastSave="{00000000-0000-0000-0000-000000000000}"/>
  <bookViews>
    <workbookView xWindow="-108" yWindow="-108" windowWidth="16608" windowHeight="8832" tabRatio="849" firstSheet="8" activeTab="11" xr2:uid="{00000000-000D-0000-FFFF-FFFF00000000}"/>
  </bookViews>
  <sheets>
    <sheet name="MENU PLANILHA" sheetId="7" r:id="rId1"/>
    <sheet name="An IIA Distribuição Postos" sheetId="3" r:id="rId2"/>
    <sheet name="An IIB Relação das Unidades" sheetId="23" r:id="rId3"/>
    <sheet name="An IIC Uniformes e EPIS" sheetId="6" r:id="rId4"/>
    <sheet name="An IID Equipamentos" sheetId="20" r:id="rId5"/>
    <sheet name="An IIE Dist. Equip." sheetId="27" r:id="rId6"/>
    <sheet name="An IIIA Postos 1" sheetId="19" r:id="rId7"/>
    <sheet name="Anexo IV A Custos Mão de Obra" sheetId="1" r:id="rId8"/>
    <sheet name="Anexo IV B BDI Serviços" sheetId="28" r:id="rId9"/>
    <sheet name="Anexo IV C BDI Material" sheetId="29" r:id="rId10"/>
    <sheet name="Anexo IV D Custos Eventuais" sheetId="25" r:id="rId11"/>
    <sheet name="Anexo IV E Custos Totais" sheetId="24" r:id="rId12"/>
  </sheets>
  <definedNames>
    <definedName name="_xlnm._FilterDatabase" localSheetId="1" hidden="1">'An IIA Distribuição Postos'!#REF!</definedName>
    <definedName name="_xlnm._FilterDatabase" localSheetId="2" hidden="1">'An IIB Relação das Unidades'!#REF!</definedName>
    <definedName name="_xlnm._FilterDatabase" localSheetId="5" hidden="1">'An IIE Dist. Equip.'!#REF!</definedName>
    <definedName name="_xlnm.Print_Area" localSheetId="1">'An IIA Distribuição Postos'!$A$1:$I$11</definedName>
    <definedName name="_xlnm.Print_Area" localSheetId="4">'An IID Equipamentos'!$A$1:$E$74</definedName>
    <definedName name="_xlnm.Print_Area" localSheetId="7">'Anexo IV A Custos Mão de Obra'!$A$1:$G$16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6" l="1"/>
  <c r="F54" i="6"/>
  <c r="E54" i="6"/>
  <c r="E57" i="6"/>
  <c r="F14" i="24" l="1"/>
  <c r="G14" i="24"/>
  <c r="C24" i="25"/>
  <c r="G45" i="6"/>
  <c r="E45" i="6"/>
  <c r="J88" i="19" l="1"/>
  <c r="F88" i="19"/>
  <c r="G88" i="19"/>
  <c r="H88" i="19"/>
  <c r="I88" i="19"/>
  <c r="E88" i="19"/>
  <c r="D88" i="19"/>
  <c r="F77" i="19"/>
  <c r="G77" i="19"/>
  <c r="H77" i="19"/>
  <c r="I77" i="19"/>
  <c r="J77" i="19"/>
  <c r="E77" i="19"/>
  <c r="D77" i="19"/>
  <c r="D17" i="28" l="1"/>
  <c r="E24" i="25"/>
  <c r="D24" i="29"/>
  <c r="D17" i="29"/>
  <c r="D21" i="29"/>
  <c r="D23" i="29" s="1"/>
  <c r="D16" i="29"/>
  <c r="D12" i="29"/>
  <c r="D21" i="28"/>
  <c r="D23" i="28" s="1"/>
  <c r="D24" i="28" s="1"/>
  <c r="D16" i="28"/>
  <c r="D12" i="28"/>
  <c r="E19" i="25" l="1"/>
  <c r="G19" i="25" s="1"/>
  <c r="E10" i="24" s="1"/>
  <c r="E18" i="25"/>
  <c r="G18" i="25" s="1"/>
  <c r="E11" i="24" s="1"/>
  <c r="F13" i="25"/>
  <c r="G13" i="25" s="1"/>
  <c r="J33" i="19"/>
  <c r="G33" i="19"/>
  <c r="F10" i="24" l="1"/>
  <c r="G10" i="24"/>
  <c r="F11" i="24"/>
  <c r="G11" i="24"/>
  <c r="H19" i="25"/>
  <c r="G20" i="25"/>
  <c r="H18" i="25"/>
  <c r="J60" i="19"/>
  <c r="I60" i="19"/>
  <c r="H60" i="19"/>
  <c r="J30" i="19"/>
  <c r="J36" i="19" s="1"/>
  <c r="I30" i="19"/>
  <c r="H30" i="19"/>
  <c r="E31" i="6"/>
  <c r="E32" i="6"/>
  <c r="E33" i="6"/>
  <c r="E34" i="6"/>
  <c r="E35" i="6"/>
  <c r="E36" i="6"/>
  <c r="E37" i="6"/>
  <c r="E38" i="6"/>
  <c r="E39" i="6"/>
  <c r="E40" i="6"/>
  <c r="E41" i="6"/>
  <c r="E42" i="6"/>
  <c r="E43" i="6"/>
  <c r="E44" i="6"/>
  <c r="E46" i="6"/>
  <c r="E30" i="6"/>
  <c r="J106" i="19" l="1"/>
  <c r="I106" i="19"/>
  <c r="H106" i="19"/>
  <c r="G106" i="19"/>
  <c r="H20" i="25"/>
  <c r="E106" i="19"/>
  <c r="F106" i="19"/>
  <c r="F58" i="6"/>
  <c r="F57" i="6"/>
  <c r="F12" i="6"/>
  <c r="E64" i="20" l="1"/>
  <c r="E63" i="20"/>
  <c r="E9" i="20" l="1"/>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59" i="20"/>
  <c r="E60" i="20"/>
  <c r="E61" i="20"/>
  <c r="E62" i="20"/>
  <c r="E8" i="20"/>
  <c r="D16" i="1"/>
  <c r="C16" i="1"/>
  <c r="D11" i="3"/>
  <c r="D30" i="19"/>
  <c r="E30" i="19"/>
  <c r="F30" i="19"/>
  <c r="G30" i="19"/>
  <c r="G36" i="19" s="1"/>
  <c r="J63" i="19"/>
  <c r="J69" i="19" s="1"/>
  <c r="I63" i="19"/>
  <c r="I69" i="19" s="1"/>
  <c r="H63" i="19"/>
  <c r="H69" i="19" s="1"/>
  <c r="J41" i="19"/>
  <c r="I36" i="19"/>
  <c r="I47" i="19" s="1"/>
  <c r="H36" i="19"/>
  <c r="I11" i="3"/>
  <c r="F61" i="19"/>
  <c r="H11" i="3"/>
  <c r="C11" i="1" s="1"/>
  <c r="E65" i="20" l="1"/>
  <c r="E67" i="20" s="1"/>
  <c r="E68" i="20" s="1"/>
  <c r="E69" i="20" s="1"/>
  <c r="J47" i="19"/>
  <c r="J52" i="19"/>
  <c r="J79" i="19"/>
  <c r="J125" i="19"/>
  <c r="I40" i="19"/>
  <c r="H43" i="19"/>
  <c r="J48" i="19"/>
  <c r="I51" i="19"/>
  <c r="H54" i="19"/>
  <c r="I50" i="19"/>
  <c r="I79" i="19"/>
  <c r="I125" i="19"/>
  <c r="J50" i="19"/>
  <c r="I53" i="19"/>
  <c r="H40" i="19"/>
  <c r="H75" i="19" s="1"/>
  <c r="I48" i="19"/>
  <c r="J53" i="19"/>
  <c r="J40" i="19"/>
  <c r="I43" i="19"/>
  <c r="H49" i="19"/>
  <c r="J51" i="19"/>
  <c r="I54" i="19"/>
  <c r="H78" i="19"/>
  <c r="H79" i="19"/>
  <c r="H125" i="19"/>
  <c r="H41" i="19"/>
  <c r="I49" i="19"/>
  <c r="J54" i="19"/>
  <c r="H50" i="19"/>
  <c r="H53" i="19"/>
  <c r="H48" i="19"/>
  <c r="H51" i="19"/>
  <c r="J43" i="19"/>
  <c r="H52" i="19"/>
  <c r="I78" i="19"/>
  <c r="I41" i="19"/>
  <c r="H47" i="19"/>
  <c r="J49" i="19"/>
  <c r="I52" i="19"/>
  <c r="J78" i="19"/>
  <c r="G11" i="3"/>
  <c r="F11" i="3"/>
  <c r="E11" i="3"/>
  <c r="C11" i="3"/>
  <c r="B11" i="3"/>
  <c r="G9" i="25"/>
  <c r="G10" i="25"/>
  <c r="G11" i="25"/>
  <c r="G12" i="25"/>
  <c r="E10" i="25"/>
  <c r="E11" i="25"/>
  <c r="E12" i="25"/>
  <c r="H12" i="25" s="1"/>
  <c r="I12" i="25" s="1"/>
  <c r="E9" i="25"/>
  <c r="H11" i="25" l="1"/>
  <c r="I11" i="25" s="1"/>
  <c r="H9" i="25"/>
  <c r="H10" i="25"/>
  <c r="I10" i="25" s="1"/>
  <c r="J107" i="19"/>
  <c r="E107" i="19"/>
  <c r="I107" i="19"/>
  <c r="H107" i="19"/>
  <c r="G107" i="19"/>
  <c r="F107" i="19"/>
  <c r="J55" i="19"/>
  <c r="J68" i="19" s="1"/>
  <c r="I55" i="19"/>
  <c r="I68" i="19" s="1"/>
  <c r="H55" i="19"/>
  <c r="H68" i="19" s="1"/>
  <c r="J42" i="19"/>
  <c r="J67" i="19" s="1"/>
  <c r="J75" i="19"/>
  <c r="I42" i="19"/>
  <c r="I67" i="19" s="1"/>
  <c r="I75" i="19"/>
  <c r="I151" i="19"/>
  <c r="J74" i="19"/>
  <c r="H151" i="19"/>
  <c r="I74" i="19"/>
  <c r="H42" i="19"/>
  <c r="H67" i="19" s="1"/>
  <c r="H70" i="19" s="1"/>
  <c r="H74" i="19"/>
  <c r="H80" i="19" s="1"/>
  <c r="H127" i="19" s="1"/>
  <c r="H153" i="19" s="1"/>
  <c r="J151" i="19"/>
  <c r="G60" i="19"/>
  <c r="F60" i="19"/>
  <c r="E60" i="19"/>
  <c r="D60" i="19"/>
  <c r="I9" i="25" l="1"/>
  <c r="I13" i="25" s="1"/>
  <c r="H13" i="25"/>
  <c r="E12" i="24" s="1"/>
  <c r="I70" i="19"/>
  <c r="I126" i="19" s="1"/>
  <c r="I80" i="19"/>
  <c r="I127" i="19" s="1"/>
  <c r="I153" i="19" s="1"/>
  <c r="J70" i="19"/>
  <c r="J126" i="19" s="1"/>
  <c r="J80" i="19"/>
  <c r="J127" i="19" s="1"/>
  <c r="J153" i="19" s="1"/>
  <c r="H126" i="19"/>
  <c r="F13" i="6"/>
  <c r="F11" i="6"/>
  <c r="F10" i="6"/>
  <c r="F9" i="6"/>
  <c r="F12" i="24" l="1"/>
  <c r="F15" i="24" s="1"/>
  <c r="E15" i="24"/>
  <c r="G12" i="24"/>
  <c r="G15" i="24" s="1"/>
  <c r="F14" i="6"/>
  <c r="I152" i="19"/>
  <c r="J152" i="19"/>
  <c r="H152" i="19"/>
  <c r="F15" i="6"/>
  <c r="D105" i="19" s="1"/>
  <c r="G46" i="6" l="1"/>
  <c r="G44" i="6"/>
  <c r="G43" i="6"/>
  <c r="G42" i="6"/>
  <c r="G41" i="6"/>
  <c r="G40" i="6"/>
  <c r="G39" i="6"/>
  <c r="G38" i="6"/>
  <c r="G37" i="6"/>
  <c r="G36" i="6"/>
  <c r="G35" i="6"/>
  <c r="G34" i="6"/>
  <c r="G33" i="6"/>
  <c r="G32" i="6"/>
  <c r="G31" i="6"/>
  <c r="G30" i="6"/>
  <c r="F25" i="6"/>
  <c r="F24" i="6"/>
  <c r="F23" i="6"/>
  <c r="F22" i="6"/>
  <c r="F21" i="6"/>
  <c r="F20" i="6"/>
  <c r="F26" i="6" l="1"/>
  <c r="F27" i="6" s="1"/>
  <c r="G47" i="6"/>
  <c r="G48" i="6" s="1"/>
  <c r="G49" i="6" s="1"/>
  <c r="E105" i="19" l="1"/>
  <c r="J105" i="19"/>
  <c r="J109" i="19" s="1"/>
  <c r="G105" i="19"/>
  <c r="I105" i="19"/>
  <c r="I109" i="19" s="1"/>
  <c r="H105" i="19"/>
  <c r="F105" i="19"/>
  <c r="D107" i="19"/>
  <c r="I129" i="19" l="1"/>
  <c r="I155" i="19" s="1"/>
  <c r="I87" i="19"/>
  <c r="I85" i="19"/>
  <c r="I86" i="19"/>
  <c r="J129" i="19"/>
  <c r="J155" i="19" s="1"/>
  <c r="J86" i="19"/>
  <c r="J87" i="19"/>
  <c r="J85" i="19"/>
  <c r="H109" i="19"/>
  <c r="G63" i="19"/>
  <c r="G69" i="19" s="1"/>
  <c r="D63" i="19"/>
  <c r="D69" i="19" s="1"/>
  <c r="F36" i="19"/>
  <c r="E36" i="19"/>
  <c r="D36" i="19"/>
  <c r="C146" i="19"/>
  <c r="C116" i="19"/>
  <c r="C120" i="19" s="1"/>
  <c r="C55" i="19"/>
  <c r="I90" i="19" l="1"/>
  <c r="I99" i="19" s="1"/>
  <c r="I101" i="19" s="1"/>
  <c r="I128" i="19" s="1"/>
  <c r="I154" i="19" s="1"/>
  <c r="I156" i="19" s="1"/>
  <c r="J90" i="19"/>
  <c r="J99" i="19" s="1"/>
  <c r="J101" i="19" s="1"/>
  <c r="J128" i="19" s="1"/>
  <c r="J154" i="19" s="1"/>
  <c r="J156" i="19" s="1"/>
  <c r="H129" i="19"/>
  <c r="H155" i="19" s="1"/>
  <c r="H86" i="19"/>
  <c r="H87" i="19"/>
  <c r="H85" i="19"/>
  <c r="F63" i="19"/>
  <c r="F69" i="19" s="1"/>
  <c r="G41" i="19"/>
  <c r="G53" i="19"/>
  <c r="G49" i="19"/>
  <c r="G50" i="19"/>
  <c r="G52" i="19"/>
  <c r="G48" i="19"/>
  <c r="G47" i="19"/>
  <c r="G51" i="19"/>
  <c r="G54" i="19"/>
  <c r="G78" i="19"/>
  <c r="G125" i="19"/>
  <c r="G151" i="19" s="1"/>
  <c r="G79" i="19"/>
  <c r="G40" i="19"/>
  <c r="G74" i="19" s="1"/>
  <c r="G43" i="19"/>
  <c r="E63" i="19"/>
  <c r="E69" i="19" s="1"/>
  <c r="D79" i="19"/>
  <c r="D54" i="19"/>
  <c r="D52" i="19"/>
  <c r="D50" i="19"/>
  <c r="D48" i="19"/>
  <c r="D43" i="19"/>
  <c r="D41" i="19"/>
  <c r="D125" i="19"/>
  <c r="D78" i="19"/>
  <c r="D53" i="19"/>
  <c r="D51" i="19"/>
  <c r="D49" i="19"/>
  <c r="D47" i="19"/>
  <c r="D40" i="19"/>
  <c r="E79" i="19"/>
  <c r="E54" i="19"/>
  <c r="E52" i="19"/>
  <c r="E50" i="19"/>
  <c r="E48" i="19"/>
  <c r="E43" i="19"/>
  <c r="E41" i="19"/>
  <c r="E125" i="19"/>
  <c r="E78" i="19"/>
  <c r="E53" i="19"/>
  <c r="E51" i="19"/>
  <c r="E49" i="19"/>
  <c r="E47" i="19"/>
  <c r="E40" i="19"/>
  <c r="F54" i="19"/>
  <c r="F41" i="19"/>
  <c r="F48" i="19"/>
  <c r="F43" i="19"/>
  <c r="F79" i="19"/>
  <c r="F40" i="19"/>
  <c r="F47" i="19"/>
  <c r="F49" i="19"/>
  <c r="F51" i="19"/>
  <c r="F53" i="19"/>
  <c r="F78" i="19"/>
  <c r="F125" i="19"/>
  <c r="F50" i="19"/>
  <c r="F52" i="19"/>
  <c r="I130" i="19" l="1"/>
  <c r="I113" i="19" s="1"/>
  <c r="I114" i="19" s="1"/>
  <c r="J130" i="19"/>
  <c r="J113" i="19" s="1"/>
  <c r="I139" i="19"/>
  <c r="I140" i="19" s="1"/>
  <c r="I142" i="19" s="1"/>
  <c r="H90" i="19"/>
  <c r="H99" i="19" s="1"/>
  <c r="H101" i="19" s="1"/>
  <c r="H128" i="19" s="1"/>
  <c r="H154" i="19" s="1"/>
  <c r="H156" i="19" s="1"/>
  <c r="J139" i="19"/>
  <c r="E42" i="19"/>
  <c r="E67" i="19" s="1"/>
  <c r="G55" i="19"/>
  <c r="G68" i="19" s="1"/>
  <c r="G42" i="19"/>
  <c r="G67" i="19" s="1"/>
  <c r="G75" i="19"/>
  <c r="G80" i="19" s="1"/>
  <c r="G127" i="19" s="1"/>
  <c r="G153" i="19" s="1"/>
  <c r="G109" i="19"/>
  <c r="G129" i="19" s="1"/>
  <c r="G155" i="19" s="1"/>
  <c r="D42" i="19"/>
  <c r="D67" i="19" s="1"/>
  <c r="D75" i="19"/>
  <c r="E75" i="19"/>
  <c r="F74" i="19"/>
  <c r="F55" i="19"/>
  <c r="F68" i="19" s="1"/>
  <c r="F151" i="19"/>
  <c r="F42" i="19"/>
  <c r="F67" i="19" s="1"/>
  <c r="E74" i="19"/>
  <c r="D74" i="19"/>
  <c r="E151" i="19"/>
  <c r="D151" i="19"/>
  <c r="E55" i="19"/>
  <c r="E68" i="19" s="1"/>
  <c r="D55" i="19"/>
  <c r="D68" i="19" s="1"/>
  <c r="F75" i="19"/>
  <c r="I144" i="19" l="1"/>
  <c r="I146" i="19" s="1"/>
  <c r="I157" i="19" s="1"/>
  <c r="I158" i="19" s="1"/>
  <c r="I159" i="19" s="1"/>
  <c r="I116" i="19"/>
  <c r="I118" i="19"/>
  <c r="H130" i="19"/>
  <c r="H113" i="19" s="1"/>
  <c r="H139" i="19"/>
  <c r="H140" i="19" s="1"/>
  <c r="J140" i="19"/>
  <c r="J142" i="19" s="1"/>
  <c r="J114" i="19"/>
  <c r="J116" i="19" s="1"/>
  <c r="D70" i="19"/>
  <c r="D126" i="19" s="1"/>
  <c r="E70" i="19"/>
  <c r="E126" i="19" s="1"/>
  <c r="G70" i="19"/>
  <c r="G87" i="19" s="1"/>
  <c r="E80" i="19"/>
  <c r="E127" i="19" s="1"/>
  <c r="E153" i="19" s="1"/>
  <c r="D80" i="19"/>
  <c r="F70" i="19"/>
  <c r="F80" i="19"/>
  <c r="F127" i="19" s="1"/>
  <c r="F153" i="19" s="1"/>
  <c r="I120" i="19" l="1"/>
  <c r="I131" i="19" s="1"/>
  <c r="I132" i="19" s="1"/>
  <c r="I133" i="19" s="1"/>
  <c r="I134" i="19" s="1"/>
  <c r="D127" i="19"/>
  <c r="D153" i="19" s="1"/>
  <c r="E14" i="1"/>
  <c r="I160" i="19"/>
  <c r="G86" i="19"/>
  <c r="G85" i="19"/>
  <c r="F14" i="1"/>
  <c r="G14" i="1" s="1"/>
  <c r="H114" i="19"/>
  <c r="H118" i="19" s="1"/>
  <c r="H144" i="19"/>
  <c r="H142" i="19"/>
  <c r="J118" i="19"/>
  <c r="J120" i="19" s="1"/>
  <c r="J131" i="19" s="1"/>
  <c r="J132" i="19" s="1"/>
  <c r="J133" i="19" s="1"/>
  <c r="J134" i="19" s="1"/>
  <c r="J144" i="19"/>
  <c r="J146" i="19" s="1"/>
  <c r="J157" i="19" s="1"/>
  <c r="J158" i="19" s="1"/>
  <c r="J159" i="19" s="1"/>
  <c r="J160" i="19" s="1"/>
  <c r="G126" i="19"/>
  <c r="G152" i="19" s="1"/>
  <c r="E152" i="19"/>
  <c r="F126" i="19"/>
  <c r="D152" i="19"/>
  <c r="G90" i="19" l="1"/>
  <c r="G99" i="19" s="1"/>
  <c r="G101" i="19" s="1"/>
  <c r="G128" i="19" s="1"/>
  <c r="G154" i="19" s="1"/>
  <c r="G156" i="19" s="1"/>
  <c r="H146" i="19"/>
  <c r="H157" i="19" s="1"/>
  <c r="H158" i="19" s="1"/>
  <c r="E13" i="1" s="1"/>
  <c r="F13" i="1" s="1"/>
  <c r="H116" i="19"/>
  <c r="H120" i="19" s="1"/>
  <c r="H131" i="19" s="1"/>
  <c r="H132" i="19" s="1"/>
  <c r="H133" i="19" s="1"/>
  <c r="H134" i="19" s="1"/>
  <c r="E15" i="1"/>
  <c r="F15" i="1" s="1"/>
  <c r="G15" i="1" s="1"/>
  <c r="F152" i="19"/>
  <c r="G130" i="19" l="1"/>
  <c r="G113" i="19" s="1"/>
  <c r="G114" i="19" s="1"/>
  <c r="G118" i="19" s="1"/>
  <c r="H160" i="19"/>
  <c r="G13" i="1"/>
  <c r="G139" i="19"/>
  <c r="G140" i="19" s="1"/>
  <c r="G142" i="19" s="1"/>
  <c r="G144" i="19" l="1"/>
  <c r="G146" i="19" s="1"/>
  <c r="G157" i="19" s="1"/>
  <c r="G158" i="19" s="1"/>
  <c r="G116" i="19"/>
  <c r="G120" i="19" s="1"/>
  <c r="G131" i="19" s="1"/>
  <c r="G132" i="19" s="1"/>
  <c r="E12" i="1" l="1"/>
  <c r="F12" i="1" s="1"/>
  <c r="G12" i="1" s="1"/>
  <c r="G160" i="19"/>
  <c r="G133" i="19"/>
  <c r="G134" i="19" s="1"/>
  <c r="F109" i="19" l="1"/>
  <c r="E109" i="19"/>
  <c r="D109" i="19"/>
  <c r="D85" i="19" s="1"/>
  <c r="E85" i="19" l="1"/>
  <c r="D129" i="19"/>
  <c r="D155" i="19" s="1"/>
  <c r="E86" i="19"/>
  <c r="F86" i="19"/>
  <c r="F87" i="19"/>
  <c r="F85" i="19"/>
  <c r="F129" i="19"/>
  <c r="F155" i="19" s="1"/>
  <c r="E87" i="19"/>
  <c r="E129" i="19"/>
  <c r="E155" i="19" s="1"/>
  <c r="D86" i="19"/>
  <c r="F90" i="19" l="1"/>
  <c r="F99" i="19" s="1"/>
  <c r="F101" i="19" s="1"/>
  <c r="F128" i="19" s="1"/>
  <c r="F154" i="19" s="1"/>
  <c r="F156" i="19" s="1"/>
  <c r="E90" i="19"/>
  <c r="E99" i="19" s="1"/>
  <c r="E101" i="19" s="1"/>
  <c r="E128" i="19" s="1"/>
  <c r="D87" i="19"/>
  <c r="F130" i="19" l="1"/>
  <c r="F113" i="19" s="1"/>
  <c r="F114" i="19" s="1"/>
  <c r="F116" i="19" s="1"/>
  <c r="E154" i="19"/>
  <c r="E156" i="19" s="1"/>
  <c r="E130" i="19"/>
  <c r="F139" i="19"/>
  <c r="D90" i="19"/>
  <c r="D99" i="19" s="1"/>
  <c r="D101" i="19" s="1"/>
  <c r="D128" i="19" s="1"/>
  <c r="D130" i="19" s="1"/>
  <c r="F118" i="19" l="1"/>
  <c r="F120" i="19" s="1"/>
  <c r="F131" i="19" s="1"/>
  <c r="F132" i="19" s="1"/>
  <c r="F134" i="19" s="1"/>
  <c r="E113" i="19"/>
  <c r="E139" i="19"/>
  <c r="E140" i="19" s="1"/>
  <c r="E144" i="19" s="1"/>
  <c r="F140" i="19"/>
  <c r="F142" i="19" s="1"/>
  <c r="D154" i="19"/>
  <c r="D156" i="19" s="1"/>
  <c r="D113" i="19"/>
  <c r="E142" i="19" l="1"/>
  <c r="E146" i="19" s="1"/>
  <c r="E157" i="19" s="1"/>
  <c r="E158" i="19" s="1"/>
  <c r="E160" i="19" s="1"/>
  <c r="E114" i="19"/>
  <c r="F144" i="19"/>
  <c r="F146" i="19" s="1"/>
  <c r="F157" i="19" s="1"/>
  <c r="F158" i="19" s="1"/>
  <c r="D114" i="19"/>
  <c r="D118" i="19" s="1"/>
  <c r="D139" i="19"/>
  <c r="F159" i="19" l="1"/>
  <c r="F160" i="19" s="1"/>
  <c r="E10" i="1"/>
  <c r="F10" i="1" s="1"/>
  <c r="G10" i="1" s="1"/>
  <c r="E116" i="19"/>
  <c r="E118" i="19"/>
  <c r="D140" i="19"/>
  <c r="D142" i="19" s="1"/>
  <c r="D116" i="19"/>
  <c r="D120" i="19" s="1"/>
  <c r="D131" i="19" s="1"/>
  <c r="D132" i="19" s="1"/>
  <c r="D134" i="19" s="1"/>
  <c r="E11" i="1" l="1"/>
  <c r="F11" i="1" s="1"/>
  <c r="G11" i="1" s="1"/>
  <c r="E120" i="19"/>
  <c r="E131" i="19" s="1"/>
  <c r="E132" i="19" s="1"/>
  <c r="E134" i="19" s="1"/>
  <c r="D144" i="19"/>
  <c r="D146" i="19" s="1"/>
  <c r="D157" i="19" s="1"/>
  <c r="D158" i="19" s="1"/>
  <c r="D160" i="19" s="1"/>
  <c r="E9" i="1" l="1"/>
  <c r="F9" i="1" s="1"/>
  <c r="F16" i="1" l="1"/>
  <c r="G9" i="1"/>
  <c r="G16" i="1" l="1"/>
  <c r="E9" i="24"/>
  <c r="F24" i="25"/>
  <c r="G24" i="25" l="1"/>
  <c r="G25" i="25" s="1"/>
  <c r="F25" i="25"/>
  <c r="E13" i="24" s="1"/>
  <c r="F9" i="24"/>
  <c r="G9" i="24"/>
  <c r="F13" i="24" l="1"/>
  <c r="G1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Joao Paulo Moraes</author>
  </authors>
  <commentList>
    <comment ref="C8" authorId="0" shapeId="0" xr:uid="{DBB26F53-D773-4BA2-B417-44C2A6B6D860}">
      <text>
        <r>
          <rPr>
            <b/>
            <sz val="9"/>
            <color indexed="81"/>
            <rFont val="Segoe UI"/>
            <charset val="1"/>
          </rPr>
          <t>O Custo Unitário pode ser alterado pela Licitante</t>
        </r>
        <r>
          <rPr>
            <sz val="9"/>
            <color indexed="81"/>
            <rFont val="Segoe UI"/>
            <charset val="1"/>
          </rPr>
          <t xml:space="preserve">
</t>
        </r>
      </text>
    </comment>
    <comment ref="D8" authorId="0" shapeId="0" xr:uid="{FD1C4641-F0C9-49F1-B94B-87157419D883}">
      <text>
        <r>
          <rPr>
            <sz val="9"/>
            <color indexed="81"/>
            <rFont val="Segoe UI"/>
            <charset val="1"/>
          </rPr>
          <t>O Percentual de BDI pode ser alterado pela Licitante</t>
        </r>
      </text>
    </comment>
    <comment ref="E8" authorId="0" shapeId="0" xr:uid="{3B17A42F-B494-43D5-9805-301E11BE1385}">
      <text>
        <r>
          <rPr>
            <b/>
            <sz val="9"/>
            <color indexed="81"/>
            <rFont val="Segoe UI"/>
            <charset val="1"/>
          </rPr>
          <t>Fórmula Matemática - Custo-Hora X BDI</t>
        </r>
        <r>
          <rPr>
            <sz val="9"/>
            <color indexed="81"/>
            <rFont val="Segoe UI"/>
            <charset val="1"/>
          </rPr>
          <t xml:space="preserve">
</t>
        </r>
      </text>
    </comment>
    <comment ref="F8" authorId="0" shapeId="0" xr:uid="{AF3CF268-401B-4F87-96DC-5FD8E3FC54C2}">
      <text>
        <r>
          <rPr>
            <b/>
            <sz val="9"/>
            <color indexed="81"/>
            <rFont val="Segoe UI"/>
            <charset val="1"/>
          </rPr>
          <t>Não poderá ser alterado a quantidade estimada pela Administração</t>
        </r>
        <r>
          <rPr>
            <sz val="9"/>
            <color indexed="81"/>
            <rFont val="Segoe UI"/>
            <charset val="1"/>
          </rPr>
          <t xml:space="preserve">
</t>
        </r>
      </text>
    </comment>
    <comment ref="G8" authorId="0" shapeId="0" xr:uid="{9725DD52-0799-465E-AA7E-5819B7E6C7AF}">
      <text>
        <r>
          <rPr>
            <b/>
            <sz val="9"/>
            <color indexed="81"/>
            <rFont val="Segoe UI"/>
            <charset val="1"/>
          </rPr>
          <t>Não poderá ser alterado a quantidade estimada pela Administração</t>
        </r>
        <r>
          <rPr>
            <sz val="9"/>
            <color indexed="81"/>
            <rFont val="Segoe UI"/>
            <charset val="1"/>
          </rPr>
          <t xml:space="preserve">
</t>
        </r>
      </text>
    </comment>
    <comment ref="C17" authorId="0" shapeId="0" xr:uid="{AB37A4C9-7F50-45CC-95B2-485640066981}">
      <text>
        <r>
          <rPr>
            <b/>
            <sz val="9"/>
            <color indexed="81"/>
            <rFont val="Segoe UI"/>
            <charset val="1"/>
          </rPr>
          <t>O Custo Unitário pode ser alterado pela Licitante</t>
        </r>
        <r>
          <rPr>
            <sz val="9"/>
            <color indexed="81"/>
            <rFont val="Segoe UI"/>
            <charset val="1"/>
          </rPr>
          <t xml:space="preserve">
</t>
        </r>
      </text>
    </comment>
    <comment ref="D17" authorId="0" shapeId="0" xr:uid="{99D74D67-785E-4BC0-BB8D-809EB82BC2CD}">
      <text>
        <r>
          <rPr>
            <b/>
            <sz val="9"/>
            <color indexed="81"/>
            <rFont val="Segoe UI"/>
            <charset val="1"/>
          </rPr>
          <t>O Percentual de BDI pode ser alterado pela Licitante</t>
        </r>
        <r>
          <rPr>
            <sz val="9"/>
            <color indexed="81"/>
            <rFont val="Segoe UI"/>
            <charset val="1"/>
          </rPr>
          <t xml:space="preserve">
</t>
        </r>
      </text>
    </comment>
    <comment ref="E17" authorId="0" shapeId="0" xr:uid="{D2B28522-560E-4889-91D3-136D89D1DFFF}">
      <text>
        <r>
          <rPr>
            <b/>
            <sz val="9"/>
            <color indexed="81"/>
            <rFont val="Segoe UI"/>
            <charset val="1"/>
          </rPr>
          <t>Fórmula Matemática - Custo Serviço X BDI</t>
        </r>
        <r>
          <rPr>
            <sz val="9"/>
            <color indexed="81"/>
            <rFont val="Segoe UI"/>
            <charset val="1"/>
          </rPr>
          <t xml:space="preserve">
</t>
        </r>
      </text>
    </comment>
    <comment ref="F17" authorId="0" shapeId="0" xr:uid="{B2F768A3-ED85-4E60-BDCC-D330E0A4A092}">
      <text>
        <r>
          <rPr>
            <b/>
            <sz val="9"/>
            <color indexed="81"/>
            <rFont val="Segoe UI"/>
            <charset val="1"/>
          </rPr>
          <t>Não poderá ser alterado a quantidade estimada pela Administração</t>
        </r>
        <r>
          <rPr>
            <sz val="9"/>
            <color indexed="81"/>
            <rFont val="Segoe UI"/>
            <charset val="1"/>
          </rPr>
          <t xml:space="preserve">
</t>
        </r>
      </text>
    </comment>
    <comment ref="C23" authorId="0" shapeId="0" xr:uid="{A77FB03A-B99E-466E-883E-358E087D3801}">
      <text>
        <r>
          <rPr>
            <sz val="9"/>
            <color indexed="81"/>
            <rFont val="Segoe UI"/>
            <family val="2"/>
          </rPr>
          <t xml:space="preserve">O Custo unitário mensal reflete 30% do custo com cessão de mão de obra.
</t>
        </r>
      </text>
    </comment>
    <comment ref="D23" authorId="0" shapeId="0" xr:uid="{C5FA9FB5-5AEB-4337-8DA5-E094839A7AF6}">
      <text>
        <r>
          <rPr>
            <b/>
            <sz val="9"/>
            <color indexed="81"/>
            <rFont val="Segoe UI"/>
            <charset val="1"/>
          </rPr>
          <t>O Percentual de Desconto nas peças pode ser alterado pela Licitante</t>
        </r>
        <r>
          <rPr>
            <sz val="9"/>
            <color indexed="81"/>
            <rFont val="Segoe UI"/>
            <charset val="1"/>
          </rPr>
          <t xml:space="preserve">
</t>
        </r>
      </text>
    </comment>
    <comment ref="E23" authorId="0" shapeId="0" xr:uid="{62A16B48-9EB0-409D-A339-D76D45019D9C}">
      <text>
        <r>
          <rPr>
            <b/>
            <sz val="9"/>
            <color indexed="81"/>
            <rFont val="Segoe UI"/>
            <charset val="1"/>
          </rPr>
          <t>O Percentual de BDI pode ser alterado pela Licitante</t>
        </r>
        <r>
          <rPr>
            <sz val="9"/>
            <color indexed="81"/>
            <rFont val="Segoe UI"/>
            <charset val="1"/>
          </rPr>
          <t xml:space="preserve">
</t>
        </r>
      </text>
    </comment>
  </commentList>
</comments>
</file>

<file path=xl/sharedStrings.xml><?xml version="1.0" encoding="utf-8"?>
<sst xmlns="http://schemas.openxmlformats.org/spreadsheetml/2006/main" count="1458" uniqueCount="447">
  <si>
    <t>PRÓ-REITORIA DE ADMINISTRAÇÃO</t>
  </si>
  <si>
    <t>COORDENAÇÃO DE CONTRATOS</t>
  </si>
  <si>
    <t>dos Equipamentos (preenchimento licitante)</t>
  </si>
  <si>
    <t>POSTOS</t>
  </si>
  <si>
    <t>ITEM</t>
  </si>
  <si>
    <t>DISCRIMINAÇÃO UNIFORME</t>
  </si>
  <si>
    <t>MÃO-DE-OBRA VINCULADA À EXECUÇÃO CONTRATUAL</t>
  </si>
  <si>
    <t>Dados para composição dos custos referentes a mão de obra</t>
  </si>
  <si>
    <t>MÓDULO 1 : COMPOSIÇÃO DA REMUNERAÇÃO</t>
  </si>
  <si>
    <t>Composição da Remuneração</t>
  </si>
  <si>
    <t>Valor(R$)</t>
  </si>
  <si>
    <t>A</t>
  </si>
  <si>
    <t>Salário Base</t>
  </si>
  <si>
    <t>B</t>
  </si>
  <si>
    <t>Adicional de Periculosidade</t>
  </si>
  <si>
    <t>C</t>
  </si>
  <si>
    <t>D</t>
  </si>
  <si>
    <t>Adicional Noturno</t>
  </si>
  <si>
    <t>E</t>
  </si>
  <si>
    <t>Adicional de Hora Noturna Reduzida</t>
  </si>
  <si>
    <t>F</t>
  </si>
  <si>
    <t xml:space="preserve">Outros </t>
  </si>
  <si>
    <t>Total de Remuneração</t>
  </si>
  <si>
    <t>MÓDULO 2: ENCARGOS E BENEFÍCIOS ANUAIS, MENSAIS E DIÁRIOS</t>
  </si>
  <si>
    <t>Submódulo 2.1 - 13º (décimo terceiro) Salário, Férias e Adicional de Férias</t>
  </si>
  <si>
    <t>2.1</t>
  </si>
  <si>
    <t>13º (décimo terceiro) Salário, Férias e Adicional de Férias</t>
  </si>
  <si>
    <t>Valor (R$)</t>
  </si>
  <si>
    <t>13º (décimo terceiro) Salário</t>
  </si>
  <si>
    <t>Férias e Adicional de Férias</t>
  </si>
  <si>
    <t>Total</t>
  </si>
  <si>
    <t>Incidência do Submódulo 2.2 - Encargos previdenciários (GPS), FGTS e outras contribuições                                                                                     (Cálculo sobre a remuneração, pois será adotada a Conta Vinculada)</t>
  </si>
  <si>
    <t>Submódulo 2.2 - Encargos Previdenciários (GPS), Fundo de Garantia por Tempo de Serviço (FGTS) e outras contribuições</t>
  </si>
  <si>
    <t>2.2</t>
  </si>
  <si>
    <t>GPS, FGTS e outras contribuições</t>
  </si>
  <si>
    <t>%</t>
  </si>
  <si>
    <t>INSS</t>
  </si>
  <si>
    <t>Salário Educação</t>
  </si>
  <si>
    <t>Seguro acidente do trabalho</t>
  </si>
  <si>
    <t>SESI ou SESC</t>
  </si>
  <si>
    <t>SENAI ou SENAC</t>
  </si>
  <si>
    <t>SEBRAE</t>
  </si>
  <si>
    <t>G</t>
  </si>
  <si>
    <t>INCRA</t>
  </si>
  <si>
    <t>H</t>
  </si>
  <si>
    <t>FGTS</t>
  </si>
  <si>
    <t>TOTAL</t>
  </si>
  <si>
    <t>Itens não aplicáveis a Optantes do SIMPLES</t>
  </si>
  <si>
    <t>Submódulo 2.3 - Benefícios Mensais e Diários</t>
  </si>
  <si>
    <t>2.3</t>
  </si>
  <si>
    <t>Benefícios Mensais e Diários</t>
  </si>
  <si>
    <t>Total de Benefícios Mensais e Diários</t>
  </si>
  <si>
    <t>Quadro-Resumo do Módulo 2 - Encargos e Benefícios anuais, mensais e diários</t>
  </si>
  <si>
    <t>Encargos e Benefícios Anuais, Mensais e Diários</t>
  </si>
  <si>
    <t>MÓDULO 3: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</si>
  <si>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</si>
  <si>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</si>
  <si>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</si>
  <si>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</si>
  <si>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</si>
  <si>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de GPS, FGTS e outras contribuições sobre o aviso prévio trabalhado</t>
  </si>
  <si>
    <t>Multa do FGTS e contribuição social sobre o aviso prévio trabalhado</t>
  </si>
  <si>
    <t>MÓDULO 4: CUSTO DE REPOSIÇÃO DO PROFISSIONAL AUSENTE</t>
  </si>
  <si>
    <t>4.1</t>
  </si>
  <si>
    <t>Ausências legais</t>
  </si>
  <si>
    <t>Substituto na cobertura de férias</t>
  </si>
  <si>
    <t>Substituto na cobertura de Ausências legais</t>
  </si>
  <si>
    <t>Substituto na cobertura de Licença paternidade</t>
  </si>
  <si>
    <t>Substituto na cobertura de Ausência por Acidente de trabalho</t>
  </si>
  <si>
    <t>Substituto na cobertura de Afastamento Maternidade</t>
  </si>
  <si>
    <t>Substituto na cobertura de outras ausências (especificar)</t>
  </si>
  <si>
    <t>Submódulo 4.2 - Intrajornada</t>
  </si>
  <si>
    <t>4.2</t>
  </si>
  <si>
    <t>Intrajornada</t>
  </si>
  <si>
    <t>Intervalo para repouso ou alimentação</t>
  </si>
  <si>
    <t>Quadro-Resumo do Módulo 4 - Custo de Reposição do Profissional Ausente</t>
  </si>
  <si>
    <t>Custo de reposição</t>
  </si>
  <si>
    <t>MÓDULO 5: INSUMOS DIVERSOS</t>
  </si>
  <si>
    <t>Insumos Diversos</t>
  </si>
  <si>
    <t>Equipamentos</t>
  </si>
  <si>
    <t>Total de Insumos Diversos</t>
  </si>
  <si>
    <t>MÓDULO 6: CUSTOS INDIRETOS, TRIBUTOS E LUCRO – (LUCRO PRESUMIDO)</t>
  </si>
  <si>
    <t>Custos Indiretos, Tributos e Lucro</t>
  </si>
  <si>
    <t>Custos Indiretos</t>
  </si>
  <si>
    <t>Lucro</t>
  </si>
  <si>
    <t>Tributos</t>
  </si>
  <si>
    <t>C.1) Tributos Federais (PIS = 0,65% e COFINS = 3%)</t>
  </si>
  <si>
    <t>C.2) Tributos Estaduais (especificar)</t>
  </si>
  <si>
    <t>C.3) Tributos Municipais (ISS = 5,0%)</t>
  </si>
  <si>
    <t>C.4) Outros tributos (especificar)</t>
  </si>
  <si>
    <t>Mão-de-obra vinculada à execução contratual (valor por empregado)</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</si>
  <si>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</si>
  <si>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</si>
  <si>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</si>
  <si>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</si>
  <si>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</si>
  <si>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D+E)</t>
  </si>
  <si>
    <t>Módulo 6 – Custos Indiretos, Tributos e Lucro</t>
  </si>
  <si>
    <t>Valor total por empregado</t>
  </si>
  <si>
    <t>FATOR K</t>
  </si>
  <si>
    <t>MÓDULO 6: CUSTOS INDIRETOS, TRIBUTOS E LUCRO – (LUCRO REAL)</t>
  </si>
  <si>
    <t>DISCRIMINAÇÃO DO POSTO</t>
  </si>
  <si>
    <t>FUNCIONÁRIOS</t>
  </si>
  <si>
    <t>VALOR MENSAL POR POSTO</t>
  </si>
  <si>
    <t>TOTAL MENSAL</t>
  </si>
  <si>
    <t>TOTAL ANUAL</t>
  </si>
  <si>
    <t>C.1) Tributos Federais (PIS = 1,65% e COFINS = 7,60%)</t>
  </si>
  <si>
    <t>Uniformes E EPIS</t>
  </si>
  <si>
    <t>Regime tributário da Licitante</t>
  </si>
  <si>
    <t>Entidade Sindical da Empresa</t>
  </si>
  <si>
    <t>Entidade Sindical dos Empregados</t>
  </si>
  <si>
    <t>Número de Registro</t>
  </si>
  <si>
    <t>Custo total da contratação</t>
  </si>
  <si>
    <t>Endereço</t>
  </si>
  <si>
    <t>Rua Miguel de Frias, 9 - Icaraí - Niterói - RJ</t>
  </si>
  <si>
    <t>Biologia NOVO Bloco M</t>
  </si>
  <si>
    <t>Bloco D - Faculdade de Educação</t>
  </si>
  <si>
    <t>Bloco F - Faculdade de Economia</t>
  </si>
  <si>
    <t>Bloco G - Instituto de Matemática e Estatística e Faculdade de Turismo</t>
  </si>
  <si>
    <t>Bloco H - Faculdade de Turismo e Hotelaria</t>
  </si>
  <si>
    <t>Bloco P  - Instituto de Ciências Humanas e Filosofia - ICHF</t>
  </si>
  <si>
    <t>Rua Passo da Pátria, n.º 156, bairro São Domingos, Niterói - RJ</t>
  </si>
  <si>
    <t>Instituto de Geociências - Bloco O e P</t>
  </si>
  <si>
    <t>Instituto de Física - Bloco N</t>
  </si>
  <si>
    <t>Pólo Campos Goytacazes (incluindo SPA)</t>
  </si>
  <si>
    <t>UNIDADE</t>
  </si>
  <si>
    <t>VALOR</t>
  </si>
  <si>
    <t>UNITÁRIO</t>
  </si>
  <si>
    <t>unid.</t>
  </si>
  <si>
    <t>Eletricista de manutenção 44h</t>
  </si>
  <si>
    <r>
      <t xml:space="preserve">Documento Comprobatório </t>
    </r>
    <r>
      <rPr>
        <b/>
        <i/>
        <sz val="11"/>
        <rFont val="Calibri"/>
        <family val="2"/>
        <scheme val="minor"/>
      </rPr>
      <t>*Anexar Comprovante</t>
    </r>
  </si>
  <si>
    <r>
      <rPr>
        <b/>
        <sz val="11"/>
        <color theme="1"/>
        <rFont val="Calibri"/>
        <family val="2"/>
        <scheme val="minor"/>
      </rPr>
      <t>ACT/CCT/DCT</t>
    </r>
    <r>
      <rPr>
        <sz val="11"/>
        <color theme="1"/>
        <rFont val="Calibri"/>
        <family val="2"/>
        <scheme val="minor"/>
      </rPr>
      <t xml:space="preserve"> </t>
    </r>
    <r>
      <rPr>
        <i/>
        <sz val="8"/>
        <color theme="1"/>
        <rFont val="Calibri"/>
        <family val="2"/>
        <scheme val="minor"/>
      </rPr>
      <t>inclusive aditivos se houver</t>
    </r>
  </si>
  <si>
    <t>Início Vigência</t>
  </si>
  <si>
    <t>Fim Vigência</t>
  </si>
  <si>
    <t>Descrição Cargos</t>
  </si>
  <si>
    <t>Dias/Mês</t>
  </si>
  <si>
    <t>Posto</t>
  </si>
  <si>
    <t>CBO</t>
  </si>
  <si>
    <t>Salário</t>
  </si>
  <si>
    <t>Adicional de Insalubridade (20% ou 40%)</t>
  </si>
  <si>
    <t>Gratificação Liderança (15% ou 30%)</t>
  </si>
  <si>
    <t>Submódulo 4.1. Ausências legais</t>
  </si>
  <si>
    <t>Quadro-resumo do Custo por Empregado (LUCRO PRESUMIDO)</t>
  </si>
  <si>
    <t>LUCRO PRESUMIDO</t>
  </si>
  <si>
    <t>Valor total por posto 12x36h</t>
  </si>
  <si>
    <t>Quadro-resumo do Custo por Empregado (LUCRO REAL)</t>
  </si>
  <si>
    <t>LUCRO REAL</t>
  </si>
  <si>
    <t>Encarregado geral  44h</t>
  </si>
  <si>
    <t>Materiais</t>
  </si>
  <si>
    <t>QUANT. ANUAL</t>
  </si>
  <si>
    <t>Conjunto de uniforme</t>
  </si>
  <si>
    <t>TOTAL ANUAL POR FUNCIONÁRIO</t>
  </si>
  <si>
    <t>1.1</t>
  </si>
  <si>
    <t>Calça comprida, material brim, modelo unissex, com elástico e cordão na cintura, 2 bolsos laterais e 2 traseiros</t>
  </si>
  <si>
    <t>Cada conjunto de uniforme será composto por: 3 calças, 3 camisetas, 5 pares de meia, 1 capa de chuva, 2 jalecos e 1 crachá.</t>
  </si>
  <si>
    <t>1.2</t>
  </si>
  <si>
    <t>1.3</t>
  </si>
  <si>
    <t>Par de meia, mínimo de 70% algodão, cano médio</t>
  </si>
  <si>
    <t>par</t>
  </si>
  <si>
    <t>1.4</t>
  </si>
  <si>
    <t>1.5</t>
  </si>
  <si>
    <t>Jaleco profissional em brim leve, manga curta, fechamento com botões, com um bolso frontal, gola esporte e com logomarca da empresa.</t>
  </si>
  <si>
    <t>1.6</t>
  </si>
  <si>
    <t>Crachá funcional, em pvc, com foto, nome e cargo.</t>
  </si>
  <si>
    <t>Total anual por funcionário</t>
  </si>
  <si>
    <t xml:space="preserve">Calça comprida jeans, modelo tradicional, com bolsos laterais e traseiros, fechamento com botão e zíper </t>
  </si>
  <si>
    <t xml:space="preserve"> unid.</t>
  </si>
  <si>
    <t>Subitem</t>
  </si>
  <si>
    <t>Descrição</t>
  </si>
  <si>
    <t>Valor unitário estimado R$</t>
  </si>
  <si>
    <t>Valor total anual</t>
  </si>
  <si>
    <t>Luva de algodão tricotada pigmentada (PAR)</t>
  </si>
  <si>
    <t>Quantidade Anual por Funcionário</t>
  </si>
  <si>
    <t>Protetor auricular tipo concha com haste atrás da nuca</t>
  </si>
  <si>
    <t>Avental de raspa (UN)</t>
  </si>
  <si>
    <t>Luva de látex, cano 26cm, palma antiderrapante (PAR)</t>
  </si>
  <si>
    <t>Luva nitrílica com forro cano médio</t>
  </si>
  <si>
    <t>Luva de raspa soldador (PAR)</t>
  </si>
  <si>
    <t>Luva de vaqueta de couro mista, cano curto (PAR)</t>
  </si>
  <si>
    <t>Mangote de raspa (par)</t>
  </si>
  <si>
    <t>Máscara de solda, tipo escudo (UN)</t>
  </si>
  <si>
    <t>Perneiras em raspa de couro, fechamento por fivela (par)</t>
  </si>
  <si>
    <t>Talabarte duplo para cinto de segurança com elástico e absorvedor de impacto (UN)</t>
  </si>
  <si>
    <t>Trava queda para corda até 12mm (UN)</t>
  </si>
  <si>
    <t>DESCRIÇÃO</t>
  </si>
  <si>
    <t>QTDE.</t>
  </si>
  <si>
    <t>CUSTO UNITÁRIO</t>
  </si>
  <si>
    <t>CUSTO 
TOTAL</t>
  </si>
  <si>
    <t>Ferro de solda 100W</t>
  </si>
  <si>
    <t>Custo Utilização Anual (Valor Tx. Depreciação)</t>
  </si>
  <si>
    <t>Item</t>
  </si>
  <si>
    <t>Consumo médio Km/l</t>
  </si>
  <si>
    <t>Franquia</t>
  </si>
  <si>
    <t>Valor médio do combustível (litro)</t>
  </si>
  <si>
    <t>Quantidade média de litros por mês</t>
  </si>
  <si>
    <t>Custo mensal estimado</t>
  </si>
  <si>
    <t>Valor mensal (R$)</t>
  </si>
  <si>
    <t>Custo anual (R$)</t>
  </si>
  <si>
    <t>Capa de chuva plástica, com faixas fluorescentes, material pvc, uso profissional.</t>
  </si>
  <si>
    <t>Total mensal UNIFORME por funcionário</t>
  </si>
  <si>
    <t>Camisa polo, malha piquet, com emblema da empresa e os dizeres A SERVIÇO DA UFF</t>
  </si>
  <si>
    <t>Camiseta, material 100% algodão, tipo manga curta, gola redonda, identificada com logomarca da empresa  os dizeres A SERVIÇO DA UFF</t>
  </si>
  <si>
    <t>Anexo III A  - FORMAÇÃO CUSTOS POSTOS DE  MANUTENÇÃO PREDIAL</t>
  </si>
  <si>
    <r>
      <t>Anexo II B - ENDEREÇO DAS UNIDADES UFF</t>
    </r>
    <r>
      <rPr>
        <sz val="11"/>
        <color rgb="FFFF0000"/>
        <rFont val="Calibri"/>
        <family val="2"/>
        <scheme val="minor"/>
      </rPr>
      <t xml:space="preserve">		</t>
    </r>
  </si>
  <si>
    <t>Unidade</t>
  </si>
  <si>
    <t>Anexo II - A - DISTRIBUIÇÃO DOS POSTOS</t>
  </si>
  <si>
    <t>Taxa de Depreciação Anual (A taxa de depreciação utilizada de acordo com tabela da I.N. da SRF n.º 1700/2017.)</t>
  </si>
  <si>
    <r>
      <t>Anexo IV A - PLANILHA DE COMPOSIÇÃO DE CUSTOS E FORMAÇÃO DE PREÇOS</t>
    </r>
    <r>
      <rPr>
        <sz val="9"/>
        <color rgb="FFFF0000"/>
        <rFont val="Verdana"/>
        <family val="2"/>
      </rPr>
      <t xml:space="preserve"> (Anexo VII da I.N. da SLTI/MPOG n.º 5 de 26/Maio/2017			</t>
    </r>
  </si>
  <si>
    <t>UNID</t>
  </si>
  <si>
    <t>MÊS</t>
  </si>
  <si>
    <r>
      <t xml:space="preserve">TOTAL GRUPO 1 </t>
    </r>
    <r>
      <rPr>
        <b/>
        <sz val="11"/>
        <color rgb="FFFF0000"/>
        <rFont val="Calibri"/>
        <family val="2"/>
        <scheme val="minor"/>
      </rPr>
      <t>(VALOR DO LANCE COMPRASNET)</t>
    </r>
  </si>
  <si>
    <t>Encarregado geral 44h</t>
  </si>
  <si>
    <t>Cada conjunto de uniforme será composto por: 3 calças, 3 camisas, 5 pares de meia, 1 capa de chuva e 1 crachá.</t>
  </si>
  <si>
    <t>Mão de obra permanente</t>
  </si>
  <si>
    <t>EPIS - Valor mensal por funcionário</t>
  </si>
  <si>
    <t>UNIFORMES MAIS EPIS - Valor mensal por funcionário</t>
  </si>
  <si>
    <t>UNIFORMES ENCARREGADOS</t>
  </si>
  <si>
    <t>Anexo II - D - RELAÇÃO DE EQUIPAMENTOS</t>
  </si>
  <si>
    <t>Ticket Alimentação - Cláusula 11ª da CCT</t>
  </si>
  <si>
    <t>Transporte -Cláusula 12ª da CCT - considerando 4 passagens/dia</t>
  </si>
  <si>
    <t>Mecânico de Ar Condicionado</t>
  </si>
  <si>
    <t>Auxiliar de Refrigeração</t>
  </si>
  <si>
    <t>Campos dos Goytacazes</t>
  </si>
  <si>
    <t>Contratação de empresa para prestação de serviços continuados de Manutenção preventiva e corretiva de equipamentos de refrigeração Central, com fornecimento de materiais de reposição e atendimento na Universidade Federal Fluminense</t>
  </si>
  <si>
    <t>Engenheiro Mecânico</t>
  </si>
  <si>
    <t>Custo Hora</t>
  </si>
  <si>
    <t>BDI</t>
  </si>
  <si>
    <t>Custo total da Hora</t>
  </si>
  <si>
    <t>Horas Estimado Semana</t>
  </si>
  <si>
    <t>Horas Estimado Mês</t>
  </si>
  <si>
    <t>Custo total do mês</t>
  </si>
  <si>
    <t>Custo total do ano</t>
  </si>
  <si>
    <t>Custo serviços acessórios, sem DEMO</t>
  </si>
  <si>
    <t>Consulta ao site &lt;http://preco.anp.gov.br/include/Resumo_Por_Municipio_Posto.asp&gt; Acesso em 05/02/2023</t>
  </si>
  <si>
    <t>Serviços eventuais sem cessão de mão de obra dedicada</t>
  </si>
  <si>
    <t>9101-05</t>
  </si>
  <si>
    <t>Análise Quimica da Água</t>
  </si>
  <si>
    <t>Análise do Ar</t>
  </si>
  <si>
    <t>Reitoria Ceart</t>
  </si>
  <si>
    <t>Bloco E</t>
  </si>
  <si>
    <t>Anexo II E - Distribuição dos Equipamentos</t>
  </si>
  <si>
    <t>PLANILHAS DE  EQUIPAMENTOS DE REFRIGERAÇÃO DE GRANDE PORTE DA UFF NITERÓI</t>
  </si>
  <si>
    <t>MÁQUINA</t>
  </si>
  <si>
    <t>FABRICANTE</t>
  </si>
  <si>
    <t xml:space="preserve">TONELADAS DE REFRIGERAÇÃO </t>
  </si>
  <si>
    <t>TENSÃO DE TRABALHO</t>
  </si>
  <si>
    <t>DUTADO</t>
  </si>
  <si>
    <t>EM FUNCIONAMENTO</t>
  </si>
  <si>
    <t>CONDENSAÇÃO</t>
  </si>
  <si>
    <t>REITORIA</t>
  </si>
  <si>
    <t>CHILLER</t>
  </si>
  <si>
    <t>Carrier</t>
  </si>
  <si>
    <t>3~380V</t>
  </si>
  <si>
    <t>SIM</t>
  </si>
  <si>
    <t>AR</t>
  </si>
  <si>
    <t>NÃO</t>
  </si>
  <si>
    <t>VRF MULT V</t>
  </si>
  <si>
    <t>LG</t>
  </si>
  <si>
    <t>3~ 220V</t>
  </si>
  <si>
    <t>SELF</t>
  </si>
  <si>
    <t>VALONGUINHO – BLOCO E</t>
  </si>
  <si>
    <t>GRAGOATÁ BLOCO M</t>
  </si>
  <si>
    <t>Hitachi</t>
  </si>
  <si>
    <t>GRAGOATÁ BLOCO F, G, H e P</t>
  </si>
  <si>
    <t>York</t>
  </si>
  <si>
    <t>GRAGOATÁ IACS</t>
  </si>
  <si>
    <t>FÍSICA PRAIA VERMELHA</t>
  </si>
  <si>
    <t>GEOCIÊNCIAS PRAIA VERMELHA</t>
  </si>
  <si>
    <t>Local</t>
  </si>
  <si>
    <t>9112-05</t>
  </si>
  <si>
    <t>Faculdade de Medicina</t>
  </si>
  <si>
    <t>Biblioteca Central do Gragoatá</t>
  </si>
  <si>
    <t>Mecânico de Ar Central 12x36h Diurno</t>
  </si>
  <si>
    <t>Mecânico de Ar Central 12x36h Noturno</t>
  </si>
  <si>
    <t>Auxiliar de Refrigeração 12x36 Noturno</t>
  </si>
  <si>
    <t>Auxiliar de Refrigeração 12x36 Diurno</t>
  </si>
  <si>
    <t>Mecânico de Ar Central 44h</t>
  </si>
  <si>
    <t>Auxiliar de Refrigeração 44h</t>
  </si>
  <si>
    <t>SOMA</t>
  </si>
  <si>
    <t>Outeiro São João Batista, s/n - Centro, Niterói</t>
  </si>
  <si>
    <t>IACS novo</t>
  </si>
  <si>
    <t>Rua Professor Marcos Valdemar de Freitas Reis, s/n - São Domingos, Niterói</t>
  </si>
  <si>
    <t>Av. XV de Novembro, s/n - Centro, Campos dos Goytacazes</t>
  </si>
  <si>
    <t>Av. Marquês de Paraná, 303 - Centro, Niterói</t>
  </si>
  <si>
    <t>Chave de fenda 3 /16 x 6”</t>
  </si>
  <si>
    <t>Chave de fenda 1 /4 x 6”</t>
  </si>
  <si>
    <t>Chave de fenda 5 /16 x 6”</t>
  </si>
  <si>
    <t xml:space="preserve">Chave de fenda sindal 1 /8 </t>
  </si>
  <si>
    <t>Chave de Philips 3 /16 x “</t>
  </si>
  <si>
    <t>Chave de Philips 1 /8 x 6”</t>
  </si>
  <si>
    <t>Chave de Philips 1 /4 x 6”</t>
  </si>
  <si>
    <t>Chave de Philips 5 /16 x 6”</t>
  </si>
  <si>
    <t>Chave inglesa (boca ajustável) 8”</t>
  </si>
  <si>
    <t>Chave inglesa (boca ajustável) 10”</t>
  </si>
  <si>
    <t>Chave inglesa (boca ajustável) 12”</t>
  </si>
  <si>
    <t>Alicate universal 1000v</t>
  </si>
  <si>
    <t>Alicate de bico reto 1000v</t>
  </si>
  <si>
    <t>Alicate corte diagonal 1000v</t>
  </si>
  <si>
    <t>Alicate de pressão</t>
  </si>
  <si>
    <t>Alicate quitador</t>
  </si>
  <si>
    <t>Alicate prensa terminal</t>
  </si>
  <si>
    <t>Conjunto de chave allen (hexagonal) de 1/ 8 a 1 / 2</t>
  </si>
  <si>
    <t>Conjunto de chave allen de (hexagonal) de 2mm a 13mm</t>
  </si>
  <si>
    <t>Conjunto de chave torx de T10 a T40</t>
  </si>
  <si>
    <t>Conjunto de chaves boca estria de 8mm a 24mm</t>
  </si>
  <si>
    <t>Conjunto de chaves de boca estria de 3 /16” a 1”</t>
  </si>
  <si>
    <t>Lima meia cana 200mm</t>
  </si>
  <si>
    <t xml:space="preserve">Trena de 5m </t>
  </si>
  <si>
    <t>Nível de alumínio base magnética 2 bolhas 12”</t>
  </si>
  <si>
    <t>Conjunto flangeador com alargador de 3/ 16” a 1.1/8”</t>
  </si>
  <si>
    <t>Cortador de tubo de cobre de 1/8” a 1.1/8”</t>
  </si>
  <si>
    <t>Manifold com mangueiras para R 22</t>
  </si>
  <si>
    <t>Manifold com mangueiras para R 410</t>
  </si>
  <si>
    <t>Maçarico portátil tipo turbo torch</t>
  </si>
  <si>
    <t>Alicate de bomba de água 10”</t>
  </si>
  <si>
    <t>Chave de grifo 10”</t>
  </si>
  <si>
    <t>Termômetro tipo penta</t>
  </si>
  <si>
    <t>Bomba de vácuo 5cfm</t>
  </si>
  <si>
    <t>Alicate rebitador (pop)</t>
  </si>
  <si>
    <t>Máquina de furar profissional</t>
  </si>
  <si>
    <t>Conjunto de brocas 1/8” a 1/ 2”</t>
  </si>
  <si>
    <t>Esmerilhadeira angular 4 1/ 2”</t>
  </si>
  <si>
    <t>Inversora de solda (máquina de solda elétrica)</t>
  </si>
  <si>
    <t>Conjunto de solda PPU (oxigênio e acetileno)</t>
  </si>
  <si>
    <t>Arco de serra de 200-300mm</t>
  </si>
  <si>
    <t>Sugador de solda com ponta de teflon</t>
  </si>
  <si>
    <t>Alicate amperímetro</t>
  </si>
  <si>
    <t>Multímetro profissional com capacimetro</t>
  </si>
  <si>
    <t>Pincel 2”</t>
  </si>
  <si>
    <t xml:space="preserve">Faca reta desencapadora isolada </t>
  </si>
  <si>
    <t>Talhadeira de aço 200x18mm</t>
  </si>
  <si>
    <t>Ponteiro 1/ 2 x 12”</t>
  </si>
  <si>
    <t>Cilindro de Nitrogênio c/ regulador</t>
  </si>
  <si>
    <t xml:space="preserve">Curvador de Tubo Mecânico de ¼ a 1 1/8 </t>
  </si>
  <si>
    <t>Auxiliar de Refrigeração 12x36h Diurno</t>
  </si>
  <si>
    <t>Mecânico de Ar Central 44 h</t>
  </si>
  <si>
    <t>Relógio de ponto eletrônico</t>
  </si>
  <si>
    <r>
      <rPr>
        <b/>
        <sz val="10"/>
        <color rgb="FF000000"/>
        <rFont val="Calibri"/>
        <family val="2"/>
        <scheme val="minor"/>
      </rPr>
      <t>Observações:</t>
    </r>
    <r>
      <rPr>
        <sz val="10"/>
        <color rgb="FF000000"/>
        <rFont val="Calibri"/>
        <family val="2"/>
        <scheme val="minor"/>
      </rPr>
      <t xml:space="preserve">
a)  A Contratada deverá disponibilizar  e manter  constantes, durante o período de vigência  contratual, todos   os   quantitativos   listados   acima,   devendo   repor   imediatamente   qualquer   ferramenta   ou equipamento danificado;
b) Esta relação não é exaustiva, devendo a Contratada fornecer todos os equipamentos, ferramentas e instrumentos necessários à execução dos serviços, objeto deste Termo de Referência;
c) Metodologia de cálculo adotada: Acórdão 966/2010;
d) A taxa de depreciação anual adotada foi retirada da IN SRF Nº162/98.
e)   Ao   término   contratual,   os   equipamentos   e   ferramentas   utilizados   serão   de   propriedade   da Contratada. O valor pago pela Contratante limita-se a compensação da depreciação ocasionada pelo uso dos equipamentos, instrumentos e ferramentas nas atividades de manutenção predial.                                                                                                     f) Deverá ser instalado um relógio de Ponto da Superintendemcia de Operações e Manutenção e 1 na unidade de Campos dos Goytacazes</t>
    </r>
  </si>
  <si>
    <t>Veículo com capacidade para 5 passageiros, 5 portas, com no máximo 1 ano de fabricação, motor 1,0 L, com ar condicionado e direção elétrica assistida. Modelo comercial de referência: ONIX SEDAN Plus LTZ 1.0 12V TB Flex Mec (Sem Motorista e com todas as taxas e impostos regularizadas) Tabela FIPE mês de Fevereiro/2022</t>
  </si>
  <si>
    <t>Maleta Ferramentas - Maleta Ferramentas Material: Chapa Metálica , Acabamento Superficial: Pintura Eletrostática , Altura: 215 MM, Comprimento: 500 MM, Largura: 200 MM, Características Adicionais: Com Alça Fixa, Gavetas Moldadas Sem Emendas/Soldas , Quantidade Gavetas: 7 UN, Tipo Caixa: Sanfona</t>
  </si>
  <si>
    <t>Maleta ferramentas - Maleta Ferramentas Material: Couro , Comprimento: 400 MM, Largura: 140 MM, Altura: 210 MM, Características Adicionais: Com A Alça, Fecho De Fivelas, Pés De Apoio ,</t>
  </si>
  <si>
    <t>Lavadora de alta pressão profissional, mínimo 1500 PSI</t>
  </si>
  <si>
    <t>Martelo de bola 500g - Martelo - Material: Aço Cromo Vanádio, Acabamento Corpo: Fosfatizado, Tipo: Bola, Material Cabo: Madeira, Peso: 500 G</t>
  </si>
  <si>
    <t>UNIFORMES AUXILIAR DE REFRIGERAÇÃO E MECÂNICO DE AR CONDICIONADO</t>
  </si>
  <si>
    <t>Botina de segurança com elástico coberto, cabedal confeccionado em couro curtido ao cromo, com forração em sintético, solado de PU, Bi densidade, injetado diretamente ao cabedal. Marca Marluvas ou similar. (PAR)</t>
  </si>
  <si>
    <t>Capacete de segurança classe A, com jugular (UN)</t>
  </si>
  <si>
    <t>Óculos de segurança incolor</t>
  </si>
  <si>
    <t>Sapato fechado profissional, com cadarço, acolchoado, tipo derby, em couro preto</t>
  </si>
  <si>
    <t>EPIS AUXILIAR DE REFRIGERAÇÃO E MECÂNICO DE AR CONDICIONADO</t>
  </si>
  <si>
    <t>QT. INICIAL</t>
  </si>
  <si>
    <t>QT. SEMESTRE</t>
  </si>
  <si>
    <t>Máscara descartável Pff2 Caixa com 50 unidades</t>
  </si>
  <si>
    <t>Anexo II - C - RELAÇÃO DE UNIFORMES EPIS E MATERIAIS</t>
  </si>
  <si>
    <t>Técnico em Mecânica de Ar Central 44 h</t>
  </si>
  <si>
    <t>Técnico em Mecânica de Ar Central 12x36h Diurno</t>
  </si>
  <si>
    <t>Técnico em Mecânica de Ar Central 12x36h Noturno</t>
  </si>
  <si>
    <t>Seguro de Vida - Cláusula 15ª da CCT</t>
  </si>
  <si>
    <t>Custo Utilização Mensal Total</t>
  </si>
  <si>
    <t>Custo Utilização Mensal / 16 postos</t>
  </si>
  <si>
    <t>CUSTO de Material Auxiliar e Mecânico de Refrigeração/15</t>
  </si>
  <si>
    <t>3141-15</t>
  </si>
  <si>
    <t>Auxiliar de Refrigeração 12x36h Notuno</t>
  </si>
  <si>
    <t>DISCRIMINAÇÃO DO SERVIÇO</t>
  </si>
  <si>
    <t>Controle microbiológico / qualidade do ar</t>
  </si>
  <si>
    <t>Análise físico - química água</t>
  </si>
  <si>
    <t>Quantidade Mês</t>
  </si>
  <si>
    <t>GRAGOATÁ Biblioteca Central</t>
  </si>
  <si>
    <t>FACULDADE DE MEDICINA</t>
  </si>
  <si>
    <t>INSTITUTO DE CIÊNCIAS DA SOCIEDADE E DESENVOLVIMENTO REGIONAL - CAMPOS DOS GOYTACAZES</t>
  </si>
  <si>
    <t>GRAGOATÁ BLOCO D (FACULDADE DE EDUCAÇÃO)</t>
  </si>
  <si>
    <t>MESES</t>
  </si>
  <si>
    <t>Custo Unitário</t>
  </si>
  <si>
    <t>Custo total do Serviço</t>
  </si>
  <si>
    <t>DISCRIMINAÇÃO</t>
  </si>
  <si>
    <t>TOTAL 30 MESES</t>
  </si>
  <si>
    <t>Obrigatório Preenchimento pela licitante</t>
  </si>
  <si>
    <t>Desconto Aplicado (Em %)</t>
  </si>
  <si>
    <t>TAXA</t>
  </si>
  <si>
    <t>Administração Central (AC)</t>
  </si>
  <si>
    <t>Seguro + Garantia (S + G)</t>
  </si>
  <si>
    <t>Risco ®</t>
  </si>
  <si>
    <t>Outros (especificar) (O)</t>
  </si>
  <si>
    <t>Subtotal [(AC + S + G + R + O)]</t>
  </si>
  <si>
    <t>Despesas Financeiras (DF)</t>
  </si>
  <si>
    <t>Lucro (L)</t>
  </si>
  <si>
    <t>Subtotal [(1+DF)x(1+L)x(1+O)]</t>
  </si>
  <si>
    <r>
      <t xml:space="preserve">Total de Benefícios e Despesas - TBD </t>
    </r>
    <r>
      <rPr>
        <sz val="10"/>
        <rFont val="Verdana"/>
        <family val="2"/>
      </rPr>
      <t>(incidência de subtotal 9 sobre subtotal 5)</t>
    </r>
  </si>
  <si>
    <t>Impostos e Taxas</t>
  </si>
  <si>
    <t>COFINS</t>
  </si>
  <si>
    <t>PIS</t>
  </si>
  <si>
    <t>ISS</t>
  </si>
  <si>
    <r>
      <t>Subtotal de Impostos</t>
    </r>
    <r>
      <rPr>
        <sz val="10"/>
        <rFont val="Verdana"/>
        <family val="2"/>
      </rPr>
      <t xml:space="preserve"> (COFINS+PIS+ISS)</t>
    </r>
  </si>
  <si>
    <t>Contribuição Previdenciária sobre receita bruta (CPRB)</t>
  </si>
  <si>
    <r>
      <t xml:space="preserve">Total de Tributos </t>
    </r>
    <r>
      <rPr>
        <sz val="10"/>
        <rFont val="Verdana"/>
        <family val="2"/>
      </rPr>
      <t>(COFINS+PIS+ISS+CPRB)</t>
    </r>
    <r>
      <rPr>
        <b/>
        <sz val="10"/>
        <rFont val="Verdana"/>
        <family val="2"/>
      </rPr>
      <t xml:space="preserve"> = TT</t>
    </r>
  </si>
  <si>
    <t>VALOR DO BDI = [(1+TBD) / (1-TT)]-1</t>
  </si>
  <si>
    <t>Local e data:</t>
  </si>
  <si>
    <t>Responsável Técnico pelo Orçamento:</t>
  </si>
  <si>
    <t>CREA:</t>
  </si>
  <si>
    <t>Responsável legal pela empresa:</t>
  </si>
  <si>
    <t>OBS: A planilha deve ser assinada pelo responsável técnico pela sua confecção (Art. 14 Lei 5.194/66), identificado através de carimbo com número do CREA e pelo representante legal da empresa, com carimbo do CNPJ.</t>
  </si>
  <si>
    <t>Fórmula utilizada:</t>
  </si>
  <si>
    <t>PV = CD x (1 + BDI%/100)  &lt; &gt;</t>
  </si>
  <si>
    <r>
      <t xml:space="preserve">BDI  =  [ </t>
    </r>
    <r>
      <rPr>
        <u/>
        <sz val="9"/>
        <rFont val="Verdana"/>
        <family val="2"/>
      </rPr>
      <t>(1 +(AC + S + R + G)) x (1 +DF) x (1 + L)</t>
    </r>
    <r>
      <rPr>
        <sz val="9"/>
        <rFont val="Verdana"/>
        <family val="2"/>
      </rPr>
      <t xml:space="preserve"> ]  -1</t>
    </r>
  </si>
  <si>
    <t>sendo:</t>
  </si>
  <si>
    <t>(1 -TT)</t>
  </si>
  <si>
    <t>PV - preço de venda</t>
  </si>
  <si>
    <t>CD - custo direto</t>
  </si>
  <si>
    <t>BDI - benefícios e despesas indiretas</t>
  </si>
  <si>
    <t>AC - Taxa de despesa de Administração Central</t>
  </si>
  <si>
    <t>S - Taxa de seguros</t>
  </si>
  <si>
    <t>R - Taxa de risco</t>
  </si>
  <si>
    <t>G - Taxa de garantias</t>
  </si>
  <si>
    <t>DF - Taxa de despesas financeiras</t>
  </si>
  <si>
    <t>L - Taxa de lucro</t>
  </si>
  <si>
    <t>I - Taxa de impostos</t>
  </si>
  <si>
    <t>Base do BDI, conforme Acórdão 2.622/2013, média das alíquotas por tipo de obra "construção de edifícios"</t>
  </si>
  <si>
    <t>Anexo IV B - PLANILHA DE COMPOSIÇÃO DE BDI Serviços</t>
  </si>
  <si>
    <t>Anexo IV C - PLANILHA DE COMPOSIÇÃO DE BDI Material</t>
  </si>
  <si>
    <t>Auxiliar de Refrigeração 12x36h Noturno</t>
  </si>
  <si>
    <t>Custo estimado de combustível para 4000 km/ mês</t>
  </si>
  <si>
    <t>Engenheiro Mecânico / Automação</t>
  </si>
  <si>
    <t>FANCOLETE (PISO-TETO)</t>
  </si>
  <si>
    <t xml:space="preserve">FANCOLETE (CASSETE) - </t>
  </si>
  <si>
    <t>FAN COIL MODULAR</t>
  </si>
  <si>
    <t>FANCOLETE (HI-WALL)</t>
  </si>
  <si>
    <t>SPLITÃO (10 TR)</t>
  </si>
  <si>
    <t>SPLITÃO (30 TR)</t>
  </si>
  <si>
    <t>SPLITÃO (40 TR)</t>
  </si>
  <si>
    <t>SPLITÃO (15 TR)</t>
  </si>
  <si>
    <t>SPLIT (HI-WALL) - 18 KBTUS/H</t>
  </si>
  <si>
    <t>SPLIT (HI-WALL) - 24 KBTUS/H</t>
  </si>
  <si>
    <t>SPLIT (HI-WALL) - 12 KBTUS/H</t>
  </si>
  <si>
    <t>SPLITÃO (25 TR)</t>
  </si>
  <si>
    <t>SPLITÃO (20 TR)</t>
  </si>
  <si>
    <t>SPLIT (HI-WALL) - 30 KBTUS/H</t>
  </si>
  <si>
    <t>CHILLER (15 TR)</t>
  </si>
  <si>
    <t>HITACHI</t>
  </si>
  <si>
    <t>CARRIER</t>
  </si>
  <si>
    <t>Ar Central</t>
  </si>
  <si>
    <r>
      <t>Anexo IV E - PLANILHA DE COMPOSIÇÃO DE CUSTOS E FORMAÇÃO DE PREÇOS</t>
    </r>
    <r>
      <rPr>
        <sz val="9"/>
        <color rgb="FFFF0000"/>
        <rFont val="Verdana"/>
        <family val="2"/>
      </rPr>
      <t xml:space="preserve"> (Anexo VII da I.N. da SLTI/MPOG n.º 5 de 26/Maio/2017			</t>
    </r>
  </si>
  <si>
    <r>
      <t>Anexo IV D - PLANILHA DE COMPOSIÇÃO DE CUSTOS E FORMAÇÃO DE PREÇOS</t>
    </r>
    <r>
      <rPr>
        <sz val="9"/>
        <color rgb="FFFF0000"/>
        <rFont val="Verdana"/>
        <family val="2"/>
      </rPr>
      <t xml:space="preserve"> (Anexo VII da I.N. da SLTI/MPOG n.º 5 de 26/Maio/2017			</t>
    </r>
  </si>
  <si>
    <t>Cinto de Segurança tipo paraquedista</t>
  </si>
  <si>
    <t>Peças para manutenção (70% mão de obra)</t>
  </si>
  <si>
    <t>Peças para manutenção (70% mão de obra DEMO)</t>
  </si>
  <si>
    <t>Reembolso Pedágio (Valor Fixo)</t>
  </si>
  <si>
    <t>Estimativa de custo para combustível, com franquia mensal de 3000 Km, considerando 2 viagens mensais à Campos dos Goytacazes (522 km por viagem) e deslocamentos em Niterói</t>
  </si>
  <si>
    <t>26,24%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</si>
</sst>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R$&quot;\ * #,##0.00_-;\-&quot;R$&quot;\ * #,##0.00_-;_-&quot;R$&quot;\ * &quot;-&quot;??_-;_-@_-"/>
    <numFmt numFmtId="164" formatCode="&quot;R$&quot;\ #,##0.00"/>
    <numFmt numFmtId="165" formatCode="#,##0.00_);\(#,##0.00\)"/>
    <numFmt numFmtId="166" formatCode="00"/>
    <numFmt numFmtId="167" formatCode="0.0"/>
    <numFmt numFmtId="168" formatCode="&quot;R$&quot;\ #,##0.000"/>
    <numFmt numFmtId="169" formatCode="[$R$-416]#,##0.00&quot; &quot;;&quot;-&quot;[$R$-416]#,##0.00&quot; &quot;;[$R$-416]&quot;-&quot;#&quot; &quot;;&quot; &quot;@"/>
    <numFmt numFmtId="170" formatCode="#,##0.00&quot; &quot;;&quot;(&quot;#,##0.00&quot;)&quot;;&quot;-&quot;#&quot; &quot;;&quot; &quot;@&quot; &quot;"/>
    <numFmt numFmtId="171" formatCode="[$R$-416]&quot; &quot;#,##0.00;[Red]&quot;-&quot;[$R$-416]&quot; &quot;#,##0.00"/>
  </numFmts>
  <fonts count="74">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b/>
      <sz val="9"/>
      <color rgb="FFFF0000"/>
      <name val="Verdana"/>
      <family val="2"/>
    </font>
    <font>
      <b/>
      <sz val="9"/>
      <name val="Verdana"/>
      <family val="2"/>
    </font>
    <font>
      <b/>
      <sz val="11"/>
      <name val="Calibri"/>
      <family val="2"/>
      <scheme val="minor"/>
    </font>
    <font>
      <b/>
      <sz val="11"/>
      <color theme="9" tint="-0.249977111117893"/>
      <name val="Calibri"/>
      <family val="2"/>
      <scheme val="minor"/>
    </font>
    <font>
      <b/>
      <sz val="11"/>
      <color rgb="FFFF0000"/>
      <name val="Calibri"/>
      <family val="2"/>
      <scheme val="minor"/>
    </font>
    <font>
      <sz val="11"/>
      <color theme="1"/>
      <name val="Arial"/>
      <family val="2"/>
    </font>
    <font>
      <sz val="11"/>
      <color rgb="FF000000"/>
      <name val="Calibri"/>
      <family val="2"/>
    </font>
    <font>
      <b/>
      <sz val="12"/>
      <color rgb="FFFFFFFF"/>
      <name val="Calibri"/>
      <family val="2"/>
      <scheme val="minor"/>
    </font>
    <font>
      <sz val="9"/>
      <name val="Verdana"/>
      <family val="2"/>
    </font>
    <font>
      <sz val="9"/>
      <color rgb="FFFF0000"/>
      <name val="Verdana"/>
      <family val="2"/>
    </font>
    <font>
      <sz val="11"/>
      <color rgb="FFFF0000"/>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sz val="10"/>
      <name val="Arial"/>
      <family val="2"/>
    </font>
    <font>
      <sz val="10"/>
      <name val="Calibri"/>
      <family val="2"/>
      <scheme val="minor"/>
    </font>
    <font>
      <b/>
      <sz val="10"/>
      <name val="Calibri"/>
      <family val="2"/>
      <scheme val="minor"/>
    </font>
    <font>
      <sz val="10"/>
      <color theme="1"/>
      <name val="Calibri"/>
      <family val="2"/>
      <scheme val="minor"/>
    </font>
    <font>
      <b/>
      <sz val="11"/>
      <name val="Calibri"/>
      <family val="2"/>
    </font>
    <font>
      <sz val="11"/>
      <name val="Calibri"/>
      <family val="2"/>
    </font>
    <font>
      <b/>
      <sz val="12"/>
      <color theme="1"/>
      <name val="Calibri"/>
      <family val="2"/>
      <scheme val="minor"/>
    </font>
    <font>
      <sz val="10"/>
      <name val="Verdana"/>
      <family val="2"/>
    </font>
    <font>
      <b/>
      <i/>
      <sz val="11"/>
      <name val="Calibri"/>
      <family val="2"/>
      <scheme val="minor"/>
    </font>
    <font>
      <i/>
      <sz val="8"/>
      <color theme="1"/>
      <name val="Calibri"/>
      <family val="2"/>
      <scheme val="minor"/>
    </font>
    <font>
      <sz val="11"/>
      <color rgb="FF000000"/>
      <name val="Calibri"/>
      <family val="2"/>
      <scheme val="minor"/>
    </font>
    <font>
      <b/>
      <sz val="11"/>
      <color rgb="FF000000"/>
      <name val="Calibri"/>
      <family val="2"/>
      <scheme val="minor"/>
    </font>
    <font>
      <sz val="11"/>
      <color indexed="8"/>
      <name val="Calibri"/>
      <family val="2"/>
      <scheme val="minor"/>
    </font>
    <font>
      <sz val="11"/>
      <color indexed="20"/>
      <name val="Calibri"/>
      <family val="2"/>
      <scheme val="minor"/>
    </font>
    <font>
      <b/>
      <sz val="11"/>
      <color indexed="8"/>
      <name val="Calibri"/>
      <family val="2"/>
      <scheme val="minor"/>
    </font>
    <font>
      <b/>
      <sz val="10"/>
      <name val="Calibri"/>
      <family val="2"/>
    </font>
    <font>
      <sz val="10"/>
      <name val="Calibri"/>
      <family val="2"/>
    </font>
    <font>
      <sz val="11"/>
      <color theme="1"/>
      <name val="Calibri"/>
      <family val="2"/>
      <scheme val="minor"/>
    </font>
    <font>
      <sz val="10"/>
      <color rgb="FF000000"/>
      <name val="Calibri"/>
      <family val="2"/>
    </font>
    <font>
      <sz val="10"/>
      <color rgb="FF000000"/>
      <name val="Times New Roman"/>
      <family val="1"/>
    </font>
    <font>
      <b/>
      <sz val="10"/>
      <color theme="1"/>
      <name val="Calibri"/>
      <family val="2"/>
      <scheme val="minor"/>
    </font>
    <font>
      <sz val="10"/>
      <color rgb="FF000000"/>
      <name val="Calibri"/>
      <family val="2"/>
      <scheme val="minor"/>
    </font>
    <font>
      <b/>
      <sz val="10"/>
      <color rgb="FF000000"/>
      <name val="Calibri"/>
      <family val="2"/>
      <scheme val="minor"/>
    </font>
    <font>
      <sz val="11"/>
      <color rgb="FFFF0000"/>
      <name val="Calibri"/>
      <family val="2"/>
    </font>
    <font>
      <b/>
      <sz val="11"/>
      <color rgb="FFFF0000"/>
      <name val="Calibri"/>
      <family val="2"/>
    </font>
    <font>
      <i/>
      <sz val="10"/>
      <color theme="1"/>
      <name val="Calibri"/>
      <family val="2"/>
      <scheme val="minor"/>
    </font>
    <font>
      <sz val="9"/>
      <color indexed="81"/>
      <name val="Segoe UI"/>
      <family val="2"/>
    </font>
    <font>
      <sz val="11"/>
      <color rgb="FF333333"/>
      <name val="Calibri"/>
      <family val="2"/>
    </font>
    <font>
      <sz val="10"/>
      <color rgb="FFFF0000"/>
      <name val="Calibri"/>
      <family val="2"/>
    </font>
    <font>
      <b/>
      <sz val="11"/>
      <name val="Arial"/>
      <family val="2"/>
    </font>
    <font>
      <sz val="11"/>
      <color rgb="FF800080"/>
      <name val="Calibri"/>
      <family val="2"/>
      <scheme val="minor"/>
    </font>
    <font>
      <b/>
      <sz val="12"/>
      <color rgb="FFFF0000"/>
      <name val="Calibri"/>
      <family val="2"/>
      <scheme val="minor"/>
    </font>
    <font>
      <b/>
      <sz val="10"/>
      <color rgb="FFFF0000"/>
      <name val="Calibri"/>
      <family val="2"/>
      <scheme val="minor"/>
    </font>
    <font>
      <b/>
      <sz val="9"/>
      <color rgb="FF000000"/>
      <name val="Arial"/>
      <family val="2"/>
    </font>
    <font>
      <sz val="9"/>
      <color rgb="FF000000"/>
      <name val="Arial"/>
      <family val="2"/>
    </font>
    <font>
      <b/>
      <sz val="9"/>
      <color rgb="FF111111"/>
      <name val="Arial"/>
      <family val="2"/>
    </font>
    <font>
      <sz val="9"/>
      <color rgb="FF000000"/>
      <name val="Cambria"/>
      <family val="1"/>
    </font>
    <font>
      <b/>
      <sz val="10"/>
      <name val="Verdana"/>
      <family val="2"/>
    </font>
    <font>
      <sz val="12"/>
      <color theme="1"/>
      <name val="Calibri"/>
      <family val="2"/>
    </font>
    <font>
      <b/>
      <sz val="11"/>
      <color theme="1"/>
      <name val="Calibri"/>
      <family val="2"/>
    </font>
    <font>
      <sz val="11"/>
      <color theme="1"/>
      <name val="Calibri"/>
      <charset val="134"/>
      <scheme val="minor"/>
    </font>
    <font>
      <sz val="9"/>
      <color indexed="81"/>
      <name val="Segoe UI"/>
      <charset val="1"/>
    </font>
    <font>
      <b/>
      <sz val="9"/>
      <color indexed="81"/>
      <name val="Segoe UI"/>
      <charset val="1"/>
    </font>
    <font>
      <b/>
      <i/>
      <sz val="10"/>
      <name val="Calibri"/>
      <family val="2"/>
      <scheme val="minor"/>
    </font>
    <font>
      <i/>
      <sz val="8"/>
      <name val="Verdana"/>
      <family val="2"/>
    </font>
    <font>
      <i/>
      <sz val="8"/>
      <color indexed="8"/>
      <name val="Verdana"/>
      <family val="2"/>
    </font>
    <font>
      <b/>
      <sz val="8"/>
      <color indexed="10"/>
      <name val="Verdana"/>
      <family val="2"/>
    </font>
    <font>
      <u/>
      <sz val="9"/>
      <name val="Verdana"/>
      <family val="2"/>
    </font>
  </fonts>
  <fills count="18">
    <fill>
      <patternFill patternType="none"/>
    </fill>
    <fill>
      <patternFill patternType="gray125"/>
    </fill>
    <fill>
      <patternFill patternType="solid">
        <fgColor indexed="22"/>
        <bgColor indexed="31"/>
      </patternFill>
    </fill>
    <fill>
      <patternFill patternType="solid">
        <fgColor theme="4" tint="0.59999389629810485"/>
        <bgColor indexed="64"/>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4" tint="0.79998168889431442"/>
        <bgColor indexed="64"/>
      </patternFill>
    </fill>
    <fill>
      <patternFill patternType="solid">
        <fgColor theme="4" tint="0.79998168889431442"/>
        <bgColor indexed="26"/>
      </patternFill>
    </fill>
    <fill>
      <patternFill patternType="solid">
        <fgColor theme="0"/>
        <bgColor rgb="FF000000"/>
      </patternFill>
    </fill>
    <fill>
      <patternFill patternType="solid">
        <fgColor rgb="FFB8CCE4"/>
        <bgColor rgb="FFB8CCE4"/>
      </patternFill>
    </fill>
    <fill>
      <patternFill patternType="solid">
        <fgColor theme="3" tint="0.79998168889431442"/>
        <bgColor indexed="64"/>
      </patternFill>
    </fill>
    <fill>
      <patternFill patternType="solid">
        <fgColor theme="0"/>
        <bgColor rgb="FFB8CCE4"/>
      </patternFill>
    </fill>
    <fill>
      <patternFill patternType="solid">
        <fgColor rgb="FFCCCCCC"/>
        <bgColor rgb="FFCCCCCC"/>
      </patternFill>
    </fill>
    <fill>
      <patternFill patternType="solid">
        <fgColor rgb="FFFFFF99"/>
        <bgColor rgb="FFFFFF99"/>
      </patternFill>
    </fill>
    <fill>
      <patternFill patternType="solid">
        <fgColor rgb="FFFFCC99"/>
        <bgColor rgb="FFFFCC99"/>
      </patternFill>
    </fill>
    <fill>
      <patternFill patternType="solid">
        <fgColor rgb="FFFFFF00"/>
        <bgColor indexed="64"/>
      </patternFill>
    </fill>
    <fill>
      <patternFill patternType="solid">
        <fgColor rgb="FFB4C6E7"/>
        <bgColor rgb="FFB4C6E7"/>
      </patternFill>
    </fill>
  </fills>
  <borders count="68">
    <border>
      <left/>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thin">
        <color indexed="64"/>
      </left>
      <right style="medium">
        <color indexed="64"/>
      </right>
      <top/>
      <bottom style="thin">
        <color indexed="64"/>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auto="1"/>
      </top>
      <bottom style="thin">
        <color auto="1"/>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212121"/>
      </left>
      <right style="thin">
        <color rgb="FF212121"/>
      </right>
      <top style="thin">
        <color rgb="FF212121"/>
      </top>
      <bottom style="thin">
        <color rgb="FF212121"/>
      </bottom>
      <diagonal/>
    </border>
    <border>
      <left style="thin">
        <color rgb="FF212121"/>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21212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212121"/>
      </top>
      <bottom style="thin">
        <color rgb="FF212121"/>
      </bottom>
      <diagonal/>
    </border>
    <border>
      <left style="thin">
        <color rgb="FF000000"/>
      </left>
      <right/>
      <top/>
      <bottom/>
      <diagonal/>
    </border>
    <border>
      <left style="thin">
        <color rgb="FF212121"/>
      </left>
      <right style="thin">
        <color rgb="FF212121"/>
      </right>
      <top style="thin">
        <color rgb="FF212121"/>
      </top>
      <bottom/>
      <diagonal/>
    </border>
    <border>
      <left style="thin">
        <color rgb="FF000000"/>
      </left>
      <right style="thin">
        <color rgb="FF000000"/>
      </right>
      <top/>
      <bottom style="thin">
        <color rgb="FF000000"/>
      </bottom>
      <diagonal/>
    </border>
    <border>
      <left style="thin">
        <color rgb="FF212121"/>
      </left>
      <right style="thin">
        <color rgb="FF212121"/>
      </right>
      <top/>
      <bottom style="thin">
        <color rgb="FF212121"/>
      </bottom>
      <diagonal/>
    </border>
    <border>
      <left/>
      <right/>
      <top/>
      <bottom style="thin">
        <color rgb="FF21212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indexed="64"/>
      </left>
      <right style="hair">
        <color indexed="64"/>
      </right>
      <top/>
      <bottom/>
      <diagonal/>
    </border>
    <border>
      <left style="hair">
        <color indexed="64"/>
      </left>
      <right style="hair">
        <color indexed="64"/>
      </right>
      <top/>
      <bottom/>
      <diagonal/>
    </border>
    <border>
      <left/>
      <right style="double">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top style="hair">
        <color indexed="64"/>
      </top>
      <bottom/>
      <diagonal/>
    </border>
    <border>
      <left style="thin">
        <color indexed="64"/>
      </left>
      <right style="medium">
        <color indexed="64"/>
      </right>
      <top/>
      <bottom/>
      <diagonal/>
    </border>
  </borders>
  <cellStyleXfs count="14">
    <xf numFmtId="0" fontId="0" fillId="0" borderId="0"/>
    <xf numFmtId="0" fontId="15" fillId="0" borderId="0"/>
    <xf numFmtId="44" fontId="21" fillId="0" borderId="0" applyFont="0" applyFill="0" applyBorder="0" applyAlignment="0" applyProtection="0"/>
    <xf numFmtId="0" fontId="18" fillId="0" borderId="0"/>
    <xf numFmtId="0" fontId="16" fillId="0" borderId="0"/>
    <xf numFmtId="0" fontId="8" fillId="0" borderId="0"/>
    <xf numFmtId="0" fontId="26" fillId="0" borderId="0"/>
    <xf numFmtId="44" fontId="43" fillId="0" borderId="0" applyFont="0" applyFill="0" applyBorder="0" applyAlignment="0" applyProtection="0"/>
    <xf numFmtId="0" fontId="31" fillId="0" borderId="0"/>
    <xf numFmtId="0" fontId="7" fillId="0" borderId="0"/>
    <xf numFmtId="9" fontId="66" fillId="0" borderId="0" applyFont="0" applyFill="0" applyBorder="0" applyAlignment="0" applyProtection="0"/>
    <xf numFmtId="9" fontId="18" fillId="0" borderId="0" applyFont="0" applyFill="0" applyBorder="0" applyAlignment="0" applyProtection="0"/>
    <xf numFmtId="0" fontId="18" fillId="0" borderId="0"/>
    <xf numFmtId="0" fontId="23" fillId="0" borderId="0"/>
  </cellStyleXfs>
  <cellXfs count="424">
    <xf numFmtId="0" fontId="0" fillId="0" borderId="0" xfId="0"/>
    <xf numFmtId="0" fontId="9" fillId="0" borderId="0" xfId="0" applyFont="1" applyAlignment="1">
      <alignment horizontal="center"/>
    </xf>
    <xf numFmtId="0" fontId="13" fillId="0" borderId="0" xfId="0" applyFont="1"/>
    <xf numFmtId="0" fontId="11" fillId="0" borderId="0" xfId="0" applyFont="1" applyAlignment="1">
      <alignment vertical="distributed" wrapText="1" shrinkToFit="1" readingOrder="1"/>
    </xf>
    <xf numFmtId="0" fontId="11" fillId="0" borderId="0" xfId="0" applyFont="1" applyAlignment="1">
      <alignment vertical="center" wrapText="1"/>
    </xf>
    <xf numFmtId="0" fontId="9" fillId="0" borderId="0" xfId="0" applyFont="1" applyAlignment="1">
      <alignment wrapText="1"/>
    </xf>
    <xf numFmtId="0" fontId="9" fillId="0" borderId="0" xfId="0" applyFont="1"/>
    <xf numFmtId="0" fontId="12" fillId="0" borderId="0" xfId="0" applyFont="1" applyAlignment="1">
      <alignment vertical="distributed" wrapText="1" shrinkToFit="1" readingOrder="1"/>
    </xf>
    <xf numFmtId="0" fontId="12" fillId="0" borderId="0" xfId="0" applyFont="1" applyAlignment="1">
      <alignment vertical="center" wrapText="1"/>
    </xf>
    <xf numFmtId="0" fontId="0" fillId="4" borderId="0" xfId="0" applyFill="1" applyAlignment="1">
      <alignment vertical="center"/>
    </xf>
    <xf numFmtId="0" fontId="0" fillId="4" borderId="0" xfId="0" applyFill="1" applyAlignment="1">
      <alignment horizontal="center" vertical="center"/>
    </xf>
    <xf numFmtId="0" fontId="0" fillId="0" borderId="0" xfId="0" applyAlignment="1">
      <alignment vertical="center"/>
    </xf>
    <xf numFmtId="0" fontId="17" fillId="0" borderId="0" xfId="0" applyFont="1"/>
    <xf numFmtId="0" fontId="12" fillId="0" borderId="0" xfId="0" applyFont="1" applyAlignment="1">
      <alignment horizontal="center" vertical="center" wrapText="1"/>
    </xf>
    <xf numFmtId="0" fontId="28" fillId="4" borderId="0" xfId="0" applyFont="1" applyFill="1" applyAlignment="1">
      <alignment horizontal="left" vertical="center" wrapText="1"/>
    </xf>
    <xf numFmtId="0" fontId="28" fillId="4" borderId="0" xfId="0" applyFont="1" applyFill="1" applyAlignment="1">
      <alignment horizontal="center" vertical="center"/>
    </xf>
    <xf numFmtId="0" fontId="22" fillId="6" borderId="0" xfId="0" applyFont="1" applyFill="1" applyAlignment="1">
      <alignment vertical="center"/>
    </xf>
    <xf numFmtId="0" fontId="12" fillId="7" borderId="7" xfId="0" applyFont="1" applyFill="1" applyBorder="1" applyAlignment="1" applyProtection="1">
      <alignment vertical="center"/>
      <protection locked="0"/>
    </xf>
    <xf numFmtId="0" fontId="23" fillId="4" borderId="5" xfId="0" applyFont="1" applyFill="1" applyBorder="1" applyAlignment="1">
      <alignment vertical="center"/>
    </xf>
    <xf numFmtId="44" fontId="12" fillId="0" borderId="9" xfId="2" applyFont="1" applyFill="1" applyBorder="1" applyAlignment="1" applyProtection="1">
      <alignment vertical="center"/>
    </xf>
    <xf numFmtId="0" fontId="23" fillId="4" borderId="0" xfId="0" applyFont="1" applyFill="1" applyAlignment="1">
      <alignment vertical="center"/>
    </xf>
    <xf numFmtId="0" fontId="39" fillId="4" borderId="0" xfId="0" applyFont="1" applyFill="1" applyAlignment="1">
      <alignment vertical="center"/>
    </xf>
    <xf numFmtId="0" fontId="12" fillId="0" borderId="0" xfId="0" applyFont="1" applyAlignment="1" applyProtection="1">
      <alignment vertical="center"/>
      <protection locked="0"/>
    </xf>
    <xf numFmtId="165" fontId="12" fillId="0" borderId="0" xfId="0" applyNumberFormat="1" applyFont="1" applyAlignment="1">
      <alignment horizontal="center" vertical="center"/>
    </xf>
    <xf numFmtId="0" fontId="12" fillId="0" borderId="0" xfId="0" applyFont="1" applyAlignment="1" applyProtection="1">
      <alignment horizontal="center" vertical="center"/>
      <protection locked="0"/>
    </xf>
    <xf numFmtId="0" fontId="12" fillId="0" borderId="0" xfId="0" applyFont="1" applyAlignment="1">
      <alignment horizontal="justify" vertical="center" wrapText="1"/>
    </xf>
    <xf numFmtId="2" fontId="12" fillId="4" borderId="0" xfId="0" applyNumberFormat="1" applyFont="1" applyFill="1" applyAlignment="1">
      <alignment horizontal="center" vertical="center"/>
    </xf>
    <xf numFmtId="0" fontId="12" fillId="4" borderId="0" xfId="0" applyFont="1" applyFill="1" applyAlignment="1">
      <alignment vertical="center"/>
    </xf>
    <xf numFmtId="0" fontId="33" fillId="0" borderId="6" xfId="0" applyFont="1" applyBorder="1" applyAlignment="1">
      <alignment horizontal="left" vertical="center" wrapText="1"/>
    </xf>
    <xf numFmtId="2" fontId="12" fillId="4" borderId="9" xfId="0" applyNumberFormat="1" applyFont="1" applyFill="1" applyBorder="1" applyAlignment="1">
      <alignment horizontal="center" vertical="center"/>
    </xf>
    <xf numFmtId="0" fontId="23" fillId="0" borderId="5" xfId="0" applyFont="1" applyBorder="1" applyAlignment="1">
      <alignment horizontal="center" vertical="center"/>
    </xf>
    <xf numFmtId="0" fontId="12" fillId="0" borderId="9" xfId="0" applyFont="1" applyBorder="1" applyAlignment="1">
      <alignment horizontal="justify" vertical="center" wrapText="1"/>
    </xf>
    <xf numFmtId="44" fontId="12" fillId="4" borderId="9" xfId="2" applyFont="1" applyFill="1" applyBorder="1" applyAlignment="1" applyProtection="1">
      <alignment vertical="center"/>
    </xf>
    <xf numFmtId="0" fontId="23" fillId="0" borderId="5" xfId="0" applyFont="1" applyBorder="1" applyAlignment="1">
      <alignment vertical="center"/>
    </xf>
    <xf numFmtId="0" fontId="23" fillId="4" borderId="5" xfId="0" applyFont="1" applyFill="1" applyBorder="1" applyAlignment="1">
      <alignment horizontal="center" vertical="center"/>
    </xf>
    <xf numFmtId="0" fontId="23" fillId="4" borderId="5" xfId="0" applyFont="1" applyFill="1" applyBorder="1" applyAlignment="1">
      <alignment horizontal="left" vertical="center"/>
    </xf>
    <xf numFmtId="0" fontId="23" fillId="0" borderId="9" xfId="0" applyFont="1" applyBorder="1" applyAlignment="1">
      <alignment vertical="center" wrapText="1"/>
    </xf>
    <xf numFmtId="44" fontId="38" fillId="4" borderId="9" xfId="2" applyFont="1" applyFill="1" applyBorder="1" applyAlignment="1" applyProtection="1">
      <alignment vertical="center"/>
    </xf>
    <xf numFmtId="0" fontId="29" fillId="0" borderId="0" xfId="0" applyFont="1" applyAlignment="1">
      <alignment horizontal="left" vertical="top"/>
    </xf>
    <xf numFmtId="44" fontId="27" fillId="0" borderId="0" xfId="7" applyFont="1" applyFill="1" applyBorder="1" applyAlignment="1">
      <alignment horizontal="center" vertical="top" wrapText="1"/>
    </xf>
    <xf numFmtId="0" fontId="29" fillId="0" borderId="0" xfId="0" applyFont="1" applyAlignment="1">
      <alignment horizontal="center" vertical="center"/>
    </xf>
    <xf numFmtId="0" fontId="45" fillId="0" borderId="0" xfId="0" applyFont="1" applyAlignment="1">
      <alignment vertical="top" wrapText="1"/>
    </xf>
    <xf numFmtId="0" fontId="30" fillId="10" borderId="6" xfId="0" applyFont="1" applyFill="1" applyBorder="1" applyAlignment="1">
      <alignment horizontal="center" vertical="center" wrapText="1"/>
    </xf>
    <xf numFmtId="0" fontId="31" fillId="0" borderId="6" xfId="0" applyFont="1" applyBorder="1" applyAlignment="1">
      <alignment horizontal="center" vertical="center" wrapText="1"/>
    </xf>
    <xf numFmtId="0" fontId="14" fillId="0" borderId="0" xfId="0" applyFont="1" applyAlignment="1">
      <alignment vertical="distributed" wrapText="1" shrinkToFit="1" readingOrder="1"/>
    </xf>
    <xf numFmtId="0" fontId="0" fillId="0" borderId="0" xfId="0" applyAlignment="1">
      <alignment wrapText="1"/>
    </xf>
    <xf numFmtId="0" fontId="30" fillId="10" borderId="3" xfId="0" applyFont="1" applyFill="1" applyBorder="1" applyAlignment="1">
      <alignment horizontal="center" vertical="center" wrapText="1"/>
    </xf>
    <xf numFmtId="0" fontId="30" fillId="10" borderId="4" xfId="0" applyFont="1" applyFill="1" applyBorder="1" applyAlignment="1">
      <alignment horizontal="center" vertical="center" wrapText="1"/>
    </xf>
    <xf numFmtId="0" fontId="31" fillId="0" borderId="3" xfId="0" applyFont="1" applyBorder="1" applyAlignment="1">
      <alignment horizontal="center" vertical="center"/>
    </xf>
    <xf numFmtId="0" fontId="41" fillId="3" borderId="1"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1" fillId="3" borderId="8" xfId="0" applyFont="1" applyFill="1" applyBorder="1" applyAlignment="1">
      <alignment horizontal="center" vertical="center" wrapText="1"/>
    </xf>
    <xf numFmtId="164" fontId="23" fillId="0" borderId="6" xfId="0" applyNumberFormat="1" applyFont="1" applyBorder="1" applyAlignment="1">
      <alignment horizontal="center" vertical="center" wrapText="1"/>
    </xf>
    <xf numFmtId="0" fontId="30" fillId="10" borderId="6" xfId="0" applyFont="1" applyFill="1" applyBorder="1" applyAlignment="1">
      <alignment horizontal="center" vertical="center"/>
    </xf>
    <xf numFmtId="0" fontId="12" fillId="4" borderId="9" xfId="0" applyFont="1" applyFill="1" applyBorder="1" applyAlignment="1">
      <alignment horizontal="center" vertical="center"/>
    </xf>
    <xf numFmtId="0" fontId="28" fillId="7" borderId="7" xfId="0" applyFont="1" applyFill="1" applyBorder="1" applyAlignment="1">
      <alignment horizontal="center" vertical="center" wrapText="1"/>
    </xf>
    <xf numFmtId="0" fontId="33" fillId="0" borderId="9" xfId="0" applyFont="1" applyBorder="1" applyAlignment="1">
      <alignment horizontal="left" vertical="center" wrapText="1"/>
    </xf>
    <xf numFmtId="0" fontId="12" fillId="4" borderId="15" xfId="0" applyFont="1" applyFill="1" applyBorder="1" applyAlignment="1">
      <alignment horizontal="left" vertical="center"/>
    </xf>
    <xf numFmtId="165" fontId="12" fillId="0" borderId="16" xfId="0" applyNumberFormat="1" applyFont="1" applyBorder="1" applyAlignment="1">
      <alignment horizontal="center" vertical="center"/>
    </xf>
    <xf numFmtId="0" fontId="23" fillId="4" borderId="15" xfId="0" applyFont="1" applyFill="1" applyBorder="1" applyAlignment="1">
      <alignment horizontal="left" vertical="center"/>
    </xf>
    <xf numFmtId="44" fontId="38" fillId="0" borderId="16" xfId="2" applyFont="1" applyFill="1" applyBorder="1" applyAlignment="1" applyProtection="1">
      <alignment vertical="center"/>
    </xf>
    <xf numFmtId="0" fontId="12" fillId="0" borderId="15" xfId="0" applyFont="1" applyBorder="1" applyAlignment="1">
      <alignment horizontal="center" vertical="center"/>
    </xf>
    <xf numFmtId="0" fontId="12" fillId="0" borderId="16" xfId="0" applyFont="1" applyBorder="1" applyAlignment="1" applyProtection="1">
      <alignment horizontal="center" vertical="center"/>
      <protection locked="0"/>
    </xf>
    <xf numFmtId="0" fontId="23" fillId="0" borderId="15" xfId="0" applyFont="1" applyBorder="1" applyAlignment="1">
      <alignment horizontal="center" vertical="center"/>
    </xf>
    <xf numFmtId="0" fontId="12" fillId="0" borderId="16" xfId="0" applyFont="1" applyBorder="1" applyAlignment="1">
      <alignment horizontal="justify" vertical="center" wrapText="1"/>
    </xf>
    <xf numFmtId="0" fontId="12" fillId="0" borderId="16" xfId="0" applyFont="1" applyBorder="1" applyAlignment="1">
      <alignment horizontal="center" vertical="center" wrapText="1"/>
    </xf>
    <xf numFmtId="0" fontId="23" fillId="0" borderId="16" xfId="0" applyFont="1" applyBorder="1" applyAlignment="1">
      <alignment horizontal="justify" vertical="center" wrapText="1"/>
    </xf>
    <xf numFmtId="0" fontId="23" fillId="4" borderId="16" xfId="0" applyFont="1" applyFill="1" applyBorder="1" applyAlignment="1">
      <alignment horizontal="center" vertical="center"/>
    </xf>
    <xf numFmtId="44" fontId="38" fillId="4" borderId="16" xfId="2" applyFont="1" applyFill="1" applyBorder="1" applyAlignment="1" applyProtection="1">
      <alignment vertical="center"/>
    </xf>
    <xf numFmtId="0" fontId="23" fillId="0" borderId="16" xfId="0" applyFont="1" applyBorder="1" applyAlignment="1">
      <alignment horizontal="center" vertical="center"/>
    </xf>
    <xf numFmtId="0" fontId="0" fillId="0" borderId="16" xfId="0" applyBorder="1"/>
    <xf numFmtId="0" fontId="23" fillId="4" borderId="15" xfId="0" applyFont="1" applyFill="1" applyBorder="1" applyAlignment="1">
      <alignment vertical="center"/>
    </xf>
    <xf numFmtId="44" fontId="12" fillId="4" borderId="16" xfId="2" applyFont="1" applyFill="1" applyBorder="1" applyAlignment="1" applyProtection="1">
      <alignment vertical="center"/>
    </xf>
    <xf numFmtId="2" fontId="23" fillId="4" borderId="16" xfId="0" applyNumberFormat="1" applyFont="1" applyFill="1" applyBorder="1" applyAlignment="1">
      <alignment horizontal="center" vertical="center"/>
    </xf>
    <xf numFmtId="44" fontId="23" fillId="0" borderId="16" xfId="2" applyFont="1" applyFill="1" applyBorder="1" applyAlignment="1" applyProtection="1">
      <alignment vertical="center"/>
      <protection locked="0"/>
    </xf>
    <xf numFmtId="44" fontId="31" fillId="0" borderId="4" xfId="0" applyNumberFormat="1" applyFont="1" applyBorder="1" applyAlignment="1">
      <alignment horizontal="center" vertical="center"/>
    </xf>
    <xf numFmtId="44" fontId="30" fillId="12" borderId="4" xfId="0" applyNumberFormat="1" applyFont="1" applyFill="1" applyBorder="1" applyAlignment="1">
      <alignment horizontal="center" vertical="center"/>
    </xf>
    <xf numFmtId="44" fontId="22" fillId="0" borderId="10" xfId="0" applyNumberFormat="1" applyFont="1" applyBorder="1" applyAlignment="1">
      <alignment horizontal="center"/>
    </xf>
    <xf numFmtId="0" fontId="22" fillId="0" borderId="0" xfId="0" applyFont="1" applyAlignment="1">
      <alignment wrapText="1"/>
    </xf>
    <xf numFmtId="0" fontId="6" fillId="0" borderId="0" xfId="0" applyFont="1"/>
    <xf numFmtId="0" fontId="22" fillId="0" borderId="0" xfId="0" applyFont="1"/>
    <xf numFmtId="0" fontId="31" fillId="0" borderId="3" xfId="0" applyFont="1" applyBorder="1" applyAlignment="1">
      <alignment horizontal="center" vertical="center" wrapText="1"/>
    </xf>
    <xf numFmtId="44" fontId="31" fillId="5" borderId="6" xfId="8" applyNumberFormat="1" applyFill="1" applyBorder="1" applyAlignment="1">
      <alignment horizontal="left" vertical="center"/>
    </xf>
    <xf numFmtId="44" fontId="31" fillId="0" borderId="6" xfId="0" applyNumberFormat="1" applyFont="1" applyBorder="1" applyAlignment="1">
      <alignment horizontal="center" vertical="center" wrapText="1"/>
    </xf>
    <xf numFmtId="44" fontId="31" fillId="5" borderId="6" xfId="8" applyNumberFormat="1" applyFill="1" applyBorder="1" applyAlignment="1">
      <alignment horizontal="right" vertical="center"/>
    </xf>
    <xf numFmtId="0" fontId="31" fillId="0" borderId="16" xfId="9" applyFont="1" applyBorder="1" applyAlignment="1">
      <alignment horizontal="center" vertical="center" wrapText="1"/>
    </xf>
    <xf numFmtId="44" fontId="53" fillId="5" borderId="16" xfId="8" applyNumberFormat="1" applyFont="1" applyFill="1" applyBorder="1" applyAlignment="1">
      <alignment horizontal="center" vertical="center"/>
    </xf>
    <xf numFmtId="0" fontId="31" fillId="0" borderId="15" xfId="0" applyFont="1" applyBorder="1" applyAlignment="1">
      <alignment horizontal="center" vertical="center"/>
    </xf>
    <xf numFmtId="0" fontId="0" fillId="0" borderId="16" xfId="0" applyBorder="1" applyAlignment="1">
      <alignment horizontal="center" vertical="center"/>
    </xf>
    <xf numFmtId="164" fontId="0" fillId="0" borderId="16" xfId="0" applyNumberFormat="1" applyBorder="1" applyAlignment="1">
      <alignment horizontal="center" vertical="center"/>
    </xf>
    <xf numFmtId="0" fontId="27" fillId="0" borderId="19" xfId="0" applyFont="1" applyBorder="1" applyAlignment="1">
      <alignment horizontal="center" vertical="top" wrapText="1"/>
    </xf>
    <xf numFmtId="0" fontId="27" fillId="0" borderId="0" xfId="0" applyFont="1" applyAlignment="1">
      <alignment horizontal="center" vertical="top" wrapText="1"/>
    </xf>
    <xf numFmtId="0" fontId="27" fillId="0" borderId="15" xfId="0" applyFont="1" applyBorder="1" applyAlignment="1">
      <alignment horizontal="center" vertical="center"/>
    </xf>
    <xf numFmtId="167" fontId="27" fillId="0" borderId="16" xfId="6" applyNumberFormat="1" applyFont="1" applyBorder="1" applyAlignment="1">
      <alignment horizontal="center" vertical="center" wrapText="1"/>
    </xf>
    <xf numFmtId="2" fontId="27" fillId="0" borderId="16" xfId="6" applyNumberFormat="1" applyFont="1" applyBorder="1" applyAlignment="1">
      <alignment horizontal="center" vertical="center"/>
    </xf>
    <xf numFmtId="168" fontId="27" fillId="0" borderId="16" xfId="6" applyNumberFormat="1" applyFont="1" applyBorder="1" applyAlignment="1">
      <alignment horizontal="center" vertical="center"/>
    </xf>
    <xf numFmtId="2" fontId="27" fillId="0" borderId="16" xfId="0" applyNumberFormat="1" applyFont="1" applyBorder="1" applyAlignment="1">
      <alignment horizontal="center" vertical="center"/>
    </xf>
    <xf numFmtId="0" fontId="29" fillId="0" borderId="19" xfId="0" applyFont="1" applyBorder="1"/>
    <xf numFmtId="0" fontId="29" fillId="0" borderId="0" xfId="0" applyFont="1" applyAlignment="1">
      <alignment wrapText="1"/>
    </xf>
    <xf numFmtId="0" fontId="29" fillId="0" borderId="20" xfId="0" applyFont="1" applyBorder="1" applyAlignment="1">
      <alignment horizontal="center" vertical="center"/>
    </xf>
    <xf numFmtId="0" fontId="46" fillId="11" borderId="17" xfId="0" applyFont="1" applyFill="1" applyBorder="1" applyAlignment="1">
      <alignment horizontal="center" vertical="center"/>
    </xf>
    <xf numFmtId="164" fontId="29" fillId="0" borderId="16" xfId="0" applyNumberFormat="1" applyFont="1" applyBorder="1" applyAlignment="1">
      <alignment horizontal="center" vertical="center"/>
    </xf>
    <xf numFmtId="164" fontId="29" fillId="0" borderId="17" xfId="0" applyNumberFormat="1" applyFont="1" applyBorder="1" applyAlignment="1">
      <alignment horizontal="center" vertical="center"/>
    </xf>
    <xf numFmtId="0" fontId="33" fillId="0" borderId="16" xfId="0" applyFont="1" applyBorder="1" applyAlignment="1">
      <alignment horizontal="center" vertical="center" wrapText="1"/>
    </xf>
    <xf numFmtId="3" fontId="33" fillId="0" borderId="16" xfId="0" applyNumberFormat="1" applyFont="1" applyBorder="1" applyAlignment="1">
      <alignment horizontal="center" vertical="center" wrapText="1"/>
    </xf>
    <xf numFmtId="0" fontId="12" fillId="4" borderId="15" xfId="0" applyFont="1" applyFill="1" applyBorder="1" applyAlignment="1">
      <alignment horizontal="center" vertical="center"/>
    </xf>
    <xf numFmtId="0" fontId="23" fillId="4" borderId="15" xfId="0" applyFont="1" applyFill="1" applyBorder="1" applyAlignment="1">
      <alignment horizontal="center" vertical="center"/>
    </xf>
    <xf numFmtId="44" fontId="38" fillId="0" borderId="16" xfId="2" applyFont="1" applyFill="1" applyBorder="1" applyAlignment="1" applyProtection="1">
      <alignment vertical="center"/>
      <protection locked="0"/>
    </xf>
    <xf numFmtId="164" fontId="0" fillId="4" borderId="16" xfId="0" applyNumberFormat="1" applyFill="1" applyBorder="1" applyAlignment="1">
      <alignment vertical="center"/>
    </xf>
    <xf numFmtId="44" fontId="38" fillId="5" borderId="16" xfId="2" applyFont="1" applyFill="1" applyBorder="1" applyAlignment="1" applyProtection="1">
      <alignment vertical="center"/>
      <protection locked="0"/>
    </xf>
    <xf numFmtId="164" fontId="0" fillId="0" borderId="16" xfId="0" applyNumberFormat="1" applyBorder="1"/>
    <xf numFmtId="0" fontId="12" fillId="0" borderId="16" xfId="0" applyFont="1" applyBorder="1" applyAlignment="1">
      <alignment vertical="center"/>
    </xf>
    <xf numFmtId="0" fontId="23" fillId="0" borderId="16" xfId="0" applyFont="1" applyBorder="1" applyAlignment="1">
      <alignment vertical="center"/>
    </xf>
    <xf numFmtId="0" fontId="39" fillId="0" borderId="16" xfId="0" applyFont="1" applyBorder="1" applyAlignment="1">
      <alignment horizontal="justify" vertical="center" wrapText="1"/>
    </xf>
    <xf numFmtId="2" fontId="39" fillId="4" borderId="16" xfId="0" applyNumberFormat="1" applyFont="1" applyFill="1" applyBorder="1" applyAlignment="1">
      <alignment horizontal="center" vertical="center"/>
    </xf>
    <xf numFmtId="44" fontId="56" fillId="4" borderId="16" xfId="2" applyFont="1" applyFill="1" applyBorder="1" applyAlignment="1" applyProtection="1">
      <alignment vertical="center"/>
    </xf>
    <xf numFmtId="44" fontId="39" fillId="4" borderId="16" xfId="2" applyFont="1" applyFill="1" applyBorder="1" applyAlignment="1" applyProtection="1">
      <alignment vertical="center"/>
    </xf>
    <xf numFmtId="0" fontId="12" fillId="4" borderId="24" xfId="0" applyFont="1" applyFill="1" applyBorder="1" applyAlignment="1">
      <alignment horizontal="center" vertical="center"/>
    </xf>
    <xf numFmtId="0" fontId="12" fillId="0" borderId="25" xfId="0" applyFont="1" applyBorder="1" applyAlignment="1">
      <alignment horizontal="center" vertical="center" wrapText="1"/>
    </xf>
    <xf numFmtId="0" fontId="23" fillId="4" borderId="24" xfId="0" applyFont="1" applyFill="1" applyBorder="1" applyAlignment="1">
      <alignment horizontal="center" vertical="center"/>
    </xf>
    <xf numFmtId="44" fontId="38" fillId="4" borderId="25" xfId="2" applyFont="1" applyFill="1" applyBorder="1" applyAlignment="1" applyProtection="1">
      <alignment vertical="center"/>
    </xf>
    <xf numFmtId="0" fontId="23" fillId="4" borderId="26" xfId="0" applyFont="1" applyFill="1" applyBorder="1" applyAlignment="1">
      <alignment horizontal="center" vertical="center"/>
    </xf>
    <xf numFmtId="44" fontId="12" fillId="4" borderId="27" xfId="2" applyFont="1" applyFill="1" applyBorder="1" applyAlignment="1" applyProtection="1">
      <alignment vertical="center"/>
    </xf>
    <xf numFmtId="44" fontId="24" fillId="5" borderId="16" xfId="0" applyNumberFormat="1"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33" fillId="0" borderId="15" xfId="0" applyFont="1" applyBorder="1" applyAlignment="1">
      <alignment horizontal="center" vertical="center" wrapText="1"/>
    </xf>
    <xf numFmtId="44" fontId="24" fillId="5" borderId="17" xfId="0" applyNumberFormat="1" applyFont="1" applyFill="1" applyBorder="1" applyAlignment="1">
      <alignment horizontal="center" vertical="center" wrapText="1"/>
    </xf>
    <xf numFmtId="3" fontId="24" fillId="3" borderId="9" xfId="0" applyNumberFormat="1" applyFont="1" applyFill="1" applyBorder="1" applyAlignment="1">
      <alignment horizontal="center" vertical="center"/>
    </xf>
    <xf numFmtId="164" fontId="24" fillId="3" borderId="9" xfId="0" applyNumberFormat="1" applyFont="1" applyFill="1" applyBorder="1" applyAlignment="1">
      <alignment horizontal="center" vertical="center" wrapText="1"/>
    </xf>
    <xf numFmtId="44" fontId="24" fillId="3" borderId="9" xfId="0" applyNumberFormat="1" applyFont="1" applyFill="1" applyBorder="1" applyAlignment="1">
      <alignment horizontal="center" vertical="center" wrapText="1"/>
    </xf>
    <xf numFmtId="44" fontId="24" fillId="3" borderId="10" xfId="0" applyNumberFormat="1" applyFont="1" applyFill="1" applyBorder="1" applyAlignment="1">
      <alignment horizontal="center" vertical="center" wrapText="1"/>
    </xf>
    <xf numFmtId="164" fontId="29" fillId="0" borderId="28" xfId="0" applyNumberFormat="1" applyFont="1" applyBorder="1" applyAlignment="1">
      <alignment horizontal="center" vertical="center"/>
    </xf>
    <xf numFmtId="164" fontId="29" fillId="0" borderId="29" xfId="0" applyNumberFormat="1" applyFont="1" applyBorder="1" applyAlignment="1">
      <alignment horizontal="center" vertical="center"/>
    </xf>
    <xf numFmtId="44" fontId="54" fillId="0" borderId="10" xfId="7" applyFont="1" applyFill="1" applyBorder="1" applyAlignment="1">
      <alignment horizontal="center" vertical="top" wrapText="1"/>
    </xf>
    <xf numFmtId="0" fontId="29" fillId="0" borderId="0" xfId="0" applyFont="1" applyAlignment="1">
      <alignment horizontal="left" vertical="top" wrapText="1"/>
    </xf>
    <xf numFmtId="0" fontId="12" fillId="3" borderId="16" xfId="0" applyFont="1" applyFill="1" applyBorder="1" applyAlignment="1">
      <alignment horizontal="center" vertical="center" wrapText="1"/>
    </xf>
    <xf numFmtId="49" fontId="33" fillId="0" borderId="16" xfId="0" applyNumberFormat="1" applyFont="1" applyBorder="1" applyAlignment="1">
      <alignment horizontal="center" vertical="center" wrapText="1"/>
    </xf>
    <xf numFmtId="164" fontId="33" fillId="0" borderId="16" xfId="0" applyNumberFormat="1" applyFont="1" applyBorder="1" applyAlignment="1">
      <alignment horizontal="center" vertical="center" wrapText="1"/>
    </xf>
    <xf numFmtId="3" fontId="24" fillId="3" borderId="16" xfId="0" applyNumberFormat="1" applyFont="1" applyFill="1" applyBorder="1" applyAlignment="1">
      <alignment horizontal="center" vertical="center"/>
    </xf>
    <xf numFmtId="164" fontId="24" fillId="3" borderId="16" xfId="0" applyNumberFormat="1" applyFont="1" applyFill="1" applyBorder="1" applyAlignment="1">
      <alignment horizontal="center" vertical="center" wrapText="1"/>
    </xf>
    <xf numFmtId="44" fontId="0" fillId="0" borderId="16" xfId="0" applyNumberFormat="1" applyBorder="1"/>
    <xf numFmtId="1" fontId="24" fillId="5" borderId="16" xfId="0" applyNumberFormat="1" applyFont="1" applyFill="1" applyBorder="1" applyAlignment="1">
      <alignment horizontal="center" vertical="center" wrapText="1"/>
    </xf>
    <xf numFmtId="1" fontId="24" fillId="3" borderId="16" xfId="0" applyNumberFormat="1" applyFont="1" applyFill="1" applyBorder="1" applyAlignment="1">
      <alignment horizontal="center" vertical="center" wrapText="1"/>
    </xf>
    <xf numFmtId="44" fontId="22" fillId="3" borderId="16" xfId="0" applyNumberFormat="1" applyFont="1" applyFill="1" applyBorder="1"/>
    <xf numFmtId="44" fontId="27" fillId="0" borderId="12" xfId="7" applyFont="1" applyBorder="1" applyAlignment="1">
      <alignment horizontal="center" vertical="center"/>
    </xf>
    <xf numFmtId="0" fontId="5"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22" fillId="3" borderId="16" xfId="0" applyFont="1" applyFill="1" applyBorder="1" applyAlignment="1">
      <alignment horizontal="center" vertical="center" wrapText="1"/>
    </xf>
    <xf numFmtId="0" fontId="59" fillId="14" borderId="31" xfId="0" applyFont="1" applyFill="1" applyBorder="1" applyAlignment="1">
      <alignment horizontal="center" vertical="center" wrapText="1"/>
    </xf>
    <xf numFmtId="0" fontId="59" fillId="14" borderId="32" xfId="0" applyFont="1" applyFill="1" applyBorder="1" applyAlignment="1">
      <alignment horizontal="center" vertical="center" wrapText="1"/>
    </xf>
    <xf numFmtId="0" fontId="59" fillId="14" borderId="33" xfId="0" applyFont="1" applyFill="1" applyBorder="1" applyAlignment="1">
      <alignment horizontal="center" vertical="center" wrapText="1"/>
    </xf>
    <xf numFmtId="169" fontId="59" fillId="14" borderId="34" xfId="0" applyNumberFormat="1" applyFont="1" applyFill="1" applyBorder="1" applyAlignment="1">
      <alignment horizontal="center" vertical="center" wrapText="1"/>
    </xf>
    <xf numFmtId="170" fontId="59" fillId="14" borderId="35" xfId="0" applyNumberFormat="1" applyFont="1" applyFill="1" applyBorder="1" applyAlignment="1">
      <alignment horizontal="center" vertical="center" wrapText="1"/>
    </xf>
    <xf numFmtId="170" fontId="59" fillId="14" borderId="30" xfId="0" applyNumberFormat="1" applyFont="1" applyFill="1" applyBorder="1" applyAlignment="1">
      <alignment horizontal="center" vertical="center" wrapText="1"/>
    </xf>
    <xf numFmtId="0" fontId="60" fillId="0" borderId="31" xfId="0" applyFont="1" applyBorder="1" applyAlignment="1">
      <alignment horizontal="center" vertical="center" wrapText="1"/>
    </xf>
    <xf numFmtId="0" fontId="60" fillId="0" borderId="30" xfId="0" applyFont="1" applyBorder="1" applyAlignment="1">
      <alignment horizontal="center" vertical="center" wrapText="1"/>
    </xf>
    <xf numFmtId="171" fontId="60" fillId="0" borderId="36" xfId="0" applyNumberFormat="1" applyFont="1" applyBorder="1" applyAlignment="1">
      <alignment horizontal="center" vertical="center" wrapText="1"/>
    </xf>
    <xf numFmtId="171" fontId="60" fillId="0" borderId="30" xfId="0" applyNumberFormat="1" applyFont="1" applyBorder="1" applyAlignment="1">
      <alignment horizontal="center" vertical="center" wrapText="1"/>
    </xf>
    <xf numFmtId="171" fontId="61" fillId="0" borderId="30" xfId="0" applyNumberFormat="1" applyFont="1" applyBorder="1" applyAlignment="1">
      <alignment horizontal="center" vertical="center" wrapText="1"/>
    </xf>
    <xf numFmtId="0" fontId="62" fillId="0" borderId="37" xfId="0" applyFont="1" applyBorder="1" applyAlignment="1">
      <alignment horizontal="center"/>
    </xf>
    <xf numFmtId="0" fontId="62" fillId="0" borderId="38" xfId="0" applyFont="1" applyBorder="1" applyAlignment="1">
      <alignment horizontal="center"/>
    </xf>
    <xf numFmtId="0" fontId="60" fillId="0" borderId="30" xfId="0" applyFont="1" applyBorder="1" applyAlignment="1">
      <alignment horizontal="center" vertical="center"/>
    </xf>
    <xf numFmtId="0" fontId="0" fillId="0" borderId="16" xfId="0" applyBorder="1" applyAlignment="1">
      <alignment horizontal="center"/>
    </xf>
    <xf numFmtId="0" fontId="60" fillId="0" borderId="16" xfId="0" applyFont="1" applyBorder="1" applyAlignment="1">
      <alignment horizontal="center" vertical="center"/>
    </xf>
    <xf numFmtId="0" fontId="62" fillId="0" borderId="16" xfId="0" applyFont="1" applyBorder="1" applyAlignment="1">
      <alignment horizontal="center"/>
    </xf>
    <xf numFmtId="0" fontId="60" fillId="0" borderId="16" xfId="0" applyFont="1" applyBorder="1" applyAlignment="1">
      <alignment horizontal="center" vertical="center" wrapText="1"/>
    </xf>
    <xf numFmtId="171" fontId="60" fillId="0" borderId="16" xfId="0" applyNumberFormat="1" applyFont="1" applyBorder="1" applyAlignment="1">
      <alignment horizontal="center" vertical="center" wrapText="1"/>
    </xf>
    <xf numFmtId="171" fontId="61" fillId="0" borderId="16" xfId="0" applyNumberFormat="1" applyFont="1" applyBorder="1" applyAlignment="1">
      <alignment horizontal="center" vertical="center" wrapText="1"/>
    </xf>
    <xf numFmtId="0" fontId="24" fillId="5" borderId="0" xfId="0" applyFont="1" applyFill="1" applyAlignment="1">
      <alignment horizontal="center" vertical="center"/>
    </xf>
    <xf numFmtId="0" fontId="22" fillId="5" borderId="0" xfId="0" applyFont="1" applyFill="1" applyAlignment="1">
      <alignment horizontal="center" vertical="center"/>
    </xf>
    <xf numFmtId="3" fontId="12" fillId="5" borderId="0" xfId="0" applyNumberFormat="1" applyFont="1" applyFill="1" applyAlignment="1">
      <alignment horizontal="center" vertical="center"/>
    </xf>
    <xf numFmtId="0" fontId="63" fillId="7" borderId="16" xfId="0" applyFont="1" applyFill="1" applyBorder="1" applyAlignment="1">
      <alignment horizontal="center" vertical="center" wrapText="1"/>
    </xf>
    <xf numFmtId="0" fontId="0" fillId="0" borderId="16" xfId="0" applyBorder="1" applyAlignment="1">
      <alignment wrapText="1"/>
    </xf>
    <xf numFmtId="0" fontId="22" fillId="7" borderId="16" xfId="0" applyFont="1" applyFill="1" applyBorder="1" applyAlignment="1">
      <alignment wrapText="1"/>
    </xf>
    <xf numFmtId="0" fontId="0" fillId="16" borderId="16" xfId="0" applyFill="1" applyBorder="1" applyAlignment="1">
      <alignment wrapText="1"/>
    </xf>
    <xf numFmtId="0" fontId="0" fillId="16" borderId="16" xfId="0" applyFill="1" applyBorder="1"/>
    <xf numFmtId="0" fontId="33" fillId="0" borderId="42" xfId="0" applyFont="1" applyBorder="1" applyAlignment="1">
      <alignment horizontal="center" vertical="center" wrapText="1"/>
    </xf>
    <xf numFmtId="3" fontId="33" fillId="0" borderId="28" xfId="0" applyNumberFormat="1" applyFont="1" applyBorder="1" applyAlignment="1">
      <alignment horizontal="center" vertical="center" wrapText="1"/>
    </xf>
    <xf numFmtId="44" fontId="24" fillId="5" borderId="28" xfId="0" applyNumberFormat="1" applyFont="1" applyFill="1" applyBorder="1" applyAlignment="1">
      <alignment horizontal="center" vertical="center" wrapText="1"/>
    </xf>
    <xf numFmtId="44" fontId="24" fillId="5" borderId="29" xfId="0" applyNumberFormat="1" applyFont="1" applyFill="1" applyBorder="1" applyAlignment="1">
      <alignment horizontal="center" vertical="center" wrapText="1"/>
    </xf>
    <xf numFmtId="166" fontId="42" fillId="0" borderId="16" xfId="0" applyNumberFormat="1" applyFont="1" applyBorder="1" applyAlignment="1">
      <alignment horizontal="center" vertical="center" shrinkToFit="1"/>
    </xf>
    <xf numFmtId="44" fontId="31" fillId="5" borderId="16" xfId="3" applyNumberFormat="1" applyFont="1" applyFill="1" applyBorder="1" applyAlignment="1">
      <alignment horizontal="right" vertical="center"/>
    </xf>
    <xf numFmtId="166" fontId="42" fillId="0" borderId="15" xfId="0" applyNumberFormat="1" applyFont="1" applyBorder="1" applyAlignment="1">
      <alignment horizontal="center" vertical="center" shrinkToFit="1"/>
    </xf>
    <xf numFmtId="44" fontId="42" fillId="0" borderId="17" xfId="0" applyNumberFormat="1" applyFont="1" applyBorder="1" applyAlignment="1">
      <alignment horizontal="right" vertical="center" wrapText="1"/>
    </xf>
    <xf numFmtId="44" fontId="41" fillId="3" borderId="17" xfId="7" applyFont="1" applyFill="1" applyBorder="1" applyAlignment="1">
      <alignment horizontal="center" vertical="top" wrapText="1"/>
    </xf>
    <xf numFmtId="9" fontId="44" fillId="0" borderId="17" xfId="0" applyNumberFormat="1" applyFont="1" applyBorder="1" applyAlignment="1">
      <alignment horizontal="right" vertical="top" wrapText="1" shrinkToFit="1"/>
    </xf>
    <xf numFmtId="44" fontId="42" fillId="0" borderId="17" xfId="7" applyFont="1" applyFill="1" applyBorder="1" applyAlignment="1">
      <alignment horizontal="center" vertical="top" wrapText="1"/>
    </xf>
    <xf numFmtId="0" fontId="64" fillId="0" borderId="16" xfId="0" applyFont="1" applyBorder="1" applyAlignment="1">
      <alignment horizontal="center" vertical="center" wrapText="1"/>
    </xf>
    <xf numFmtId="0" fontId="29" fillId="0" borderId="16" xfId="0" applyFont="1" applyBorder="1" applyAlignment="1">
      <alignment horizontal="justify" vertical="center" wrapText="1"/>
    </xf>
    <xf numFmtId="0" fontId="31" fillId="0" borderId="16" xfId="0" applyFont="1" applyBorder="1" applyAlignment="1">
      <alignment horizontal="center" vertical="center" wrapText="1"/>
    </xf>
    <xf numFmtId="0" fontId="31" fillId="0" borderId="16" xfId="0" applyFont="1" applyBorder="1" applyAlignment="1">
      <alignment horizontal="center" vertical="center"/>
    </xf>
    <xf numFmtId="0" fontId="31" fillId="0" borderId="33" xfId="0" applyFont="1" applyBorder="1" applyAlignment="1">
      <alignment horizontal="center" vertical="center" wrapText="1"/>
    </xf>
    <xf numFmtId="0" fontId="31" fillId="0" borderId="33" xfId="0" applyFont="1" applyBorder="1" applyAlignment="1">
      <alignment horizontal="center" vertical="center"/>
    </xf>
    <xf numFmtId="44" fontId="31" fillId="5" borderId="16" xfId="8" applyNumberFormat="1" applyFill="1" applyBorder="1" applyAlignment="1">
      <alignment horizontal="left" vertical="center"/>
    </xf>
    <xf numFmtId="0" fontId="65" fillId="17" borderId="16" xfId="0" applyFont="1" applyFill="1" applyBorder="1" applyAlignment="1">
      <alignment horizontal="center" vertical="center" wrapText="1"/>
    </xf>
    <xf numFmtId="44" fontId="30" fillId="0" borderId="6" xfId="0" applyNumberFormat="1" applyFont="1" applyBorder="1" applyAlignment="1">
      <alignment vertical="center" wrapText="1"/>
    </xf>
    <xf numFmtId="44" fontId="30" fillId="0" borderId="4" xfId="0" applyNumberFormat="1" applyFont="1" applyBorder="1"/>
    <xf numFmtId="44" fontId="30" fillId="0" borderId="2" xfId="0" applyNumberFormat="1" applyFont="1" applyBorder="1" applyAlignment="1">
      <alignment vertical="center" wrapText="1"/>
    </xf>
    <xf numFmtId="44" fontId="30" fillId="0" borderId="11" xfId="0" applyNumberFormat="1" applyFont="1" applyBorder="1" applyAlignment="1">
      <alignment vertical="center" wrapText="1"/>
    </xf>
    <xf numFmtId="44" fontId="23" fillId="4" borderId="16" xfId="2" applyFont="1" applyFill="1" applyBorder="1" applyAlignment="1" applyProtection="1">
      <alignment vertical="center"/>
    </xf>
    <xf numFmtId="164" fontId="23" fillId="0" borderId="16" xfId="2" applyNumberFormat="1" applyFont="1" applyFill="1" applyBorder="1" applyAlignment="1" applyProtection="1">
      <alignment vertical="center"/>
      <protection locked="0"/>
    </xf>
    <xf numFmtId="164" fontId="38" fillId="4" borderId="16" xfId="2" applyNumberFormat="1" applyFont="1" applyFill="1" applyBorder="1" applyAlignment="1" applyProtection="1">
      <alignment vertical="center"/>
    </xf>
    <xf numFmtId="0" fontId="33" fillId="0" borderId="16" xfId="0" applyFont="1" applyBorder="1" applyAlignment="1">
      <alignment horizontal="left" vertical="center" wrapText="1"/>
    </xf>
    <xf numFmtId="0" fontId="12" fillId="6" borderId="16" xfId="0" applyFont="1" applyFill="1" applyBorder="1" applyAlignment="1">
      <alignment horizontal="center" vertical="center"/>
    </xf>
    <xf numFmtId="0" fontId="22" fillId="6" borderId="15" xfId="0" applyFont="1" applyFill="1" applyBorder="1" applyAlignment="1">
      <alignment horizontal="center" vertical="center"/>
    </xf>
    <xf numFmtId="164" fontId="12" fillId="6" borderId="17" xfId="0" applyNumberFormat="1" applyFont="1" applyFill="1" applyBorder="1" applyAlignment="1">
      <alignment horizontal="center" vertical="center"/>
    </xf>
    <xf numFmtId="44" fontId="23" fillId="6" borderId="16" xfId="2" applyFont="1" applyFill="1" applyBorder="1" applyAlignment="1" applyProtection="1">
      <alignment vertical="center"/>
      <protection locked="0"/>
    </xf>
    <xf numFmtId="0" fontId="22" fillId="4" borderId="15" xfId="0" applyFont="1" applyFill="1" applyBorder="1" applyAlignment="1">
      <alignment vertical="center"/>
    </xf>
    <xf numFmtId="0" fontId="22" fillId="4" borderId="5" xfId="0" applyFont="1" applyFill="1" applyBorder="1" applyAlignment="1">
      <alignment vertical="center"/>
    </xf>
    <xf numFmtId="10" fontId="24" fillId="5" borderId="16" xfId="0" applyNumberFormat="1" applyFont="1" applyFill="1" applyBorder="1" applyAlignment="1">
      <alignment horizontal="center" vertical="center" wrapText="1"/>
    </xf>
    <xf numFmtId="0" fontId="22" fillId="8" borderId="16" xfId="0" applyFont="1" applyFill="1" applyBorder="1" applyAlignment="1">
      <alignment horizontal="center" vertical="center"/>
    </xf>
    <xf numFmtId="0" fontId="12" fillId="8" borderId="16" xfId="0" applyFont="1" applyFill="1" applyBorder="1" applyAlignment="1">
      <alignment horizontal="center" vertical="center"/>
    </xf>
    <xf numFmtId="0" fontId="22" fillId="8" borderId="15" xfId="0" applyFont="1" applyFill="1" applyBorder="1" applyAlignment="1">
      <alignment horizontal="center" vertical="center" wrapText="1"/>
    </xf>
    <xf numFmtId="0" fontId="12" fillId="8" borderId="17" xfId="0" applyFont="1" applyFill="1" applyBorder="1" applyAlignment="1">
      <alignment horizontal="center" vertical="center"/>
    </xf>
    <xf numFmtId="0" fontId="12" fillId="6" borderId="9" xfId="0" applyFont="1" applyFill="1" applyBorder="1" applyAlignment="1">
      <alignment horizontal="center" vertical="center"/>
    </xf>
    <xf numFmtId="164" fontId="12" fillId="6" borderId="10" xfId="0" applyNumberFormat="1" applyFont="1" applyFill="1" applyBorder="1" applyAlignment="1">
      <alignment horizontal="center" vertical="center"/>
    </xf>
    <xf numFmtId="44" fontId="0" fillId="0" borderId="16" xfId="0" applyNumberFormat="1" applyBorder="1" applyAlignment="1">
      <alignment horizontal="center" vertical="center"/>
    </xf>
    <xf numFmtId="9" fontId="33" fillId="0" borderId="16" xfId="10" applyFont="1" applyBorder="1" applyAlignment="1">
      <alignment horizontal="center" vertical="center" wrapText="1"/>
    </xf>
    <xf numFmtId="0" fontId="63" fillId="0" borderId="46" xfId="0" applyFont="1" applyBorder="1" applyAlignment="1">
      <alignment horizontal="center" vertical="center"/>
    </xf>
    <xf numFmtId="0" fontId="63" fillId="0" borderId="48" xfId="0" applyFont="1" applyBorder="1" applyAlignment="1">
      <alignment horizontal="center" vertical="center"/>
    </xf>
    <xf numFmtId="0" fontId="33" fillId="0" borderId="49" xfId="0" applyFont="1" applyBorder="1" applyAlignment="1">
      <alignment horizontal="center" vertical="center"/>
    </xf>
    <xf numFmtId="0" fontId="33" fillId="0" borderId="50" xfId="0" applyFont="1" applyBorder="1" applyAlignment="1">
      <alignment horizontal="left" vertical="center"/>
    </xf>
    <xf numFmtId="10" fontId="33" fillId="0" borderId="51" xfId="10" applyNumberFormat="1" applyFont="1" applyBorder="1" applyAlignment="1">
      <alignment horizontal="center" vertical="center"/>
    </xf>
    <xf numFmtId="0" fontId="33" fillId="0" borderId="54" xfId="0" applyFont="1" applyBorder="1" applyAlignment="1">
      <alignment horizontal="center" vertical="center"/>
    </xf>
    <xf numFmtId="10" fontId="63" fillId="0" borderId="51" xfId="11" applyNumberFormat="1" applyFont="1" applyBorder="1" applyAlignment="1">
      <alignment horizontal="center" vertical="center"/>
    </xf>
    <xf numFmtId="0" fontId="33" fillId="0" borderId="57" xfId="0" applyFont="1" applyBorder="1" applyAlignment="1">
      <alignment horizontal="left" vertical="center"/>
    </xf>
    <xf numFmtId="0" fontId="63" fillId="0" borderId="52" xfId="0" applyFont="1" applyBorder="1" applyAlignment="1">
      <alignment vertical="center"/>
    </xf>
    <xf numFmtId="10" fontId="63" fillId="0" borderId="60" xfId="0" applyNumberFormat="1" applyFont="1" applyBorder="1" applyAlignment="1">
      <alignment horizontal="center" vertical="center"/>
    </xf>
    <xf numFmtId="0" fontId="33" fillId="0" borderId="50" xfId="0" applyFont="1" applyBorder="1" applyAlignment="1">
      <alignment horizontal="center" vertical="center"/>
    </xf>
    <xf numFmtId="10" fontId="63" fillId="0" borderId="65" xfId="10" applyNumberFormat="1" applyFont="1" applyBorder="1" applyAlignment="1">
      <alignment horizontal="center" vertical="center"/>
    </xf>
    <xf numFmtId="0" fontId="33" fillId="0" borderId="0" xfId="1" applyFont="1"/>
    <xf numFmtId="0" fontId="33" fillId="0" borderId="0" xfId="0" applyFont="1"/>
    <xf numFmtId="0" fontId="15" fillId="0" borderId="0" xfId="1" applyAlignment="1">
      <alignment horizontal="left"/>
    </xf>
    <xf numFmtId="0" fontId="18" fillId="0" borderId="0" xfId="0" applyFont="1"/>
    <xf numFmtId="0" fontId="15" fillId="0" borderId="0" xfId="1" applyAlignment="1">
      <alignment horizontal="left" vertical="center"/>
    </xf>
    <xf numFmtId="0" fontId="15" fillId="0" borderId="0" xfId="1"/>
    <xf numFmtId="0" fontId="15" fillId="0" borderId="0" xfId="1" applyAlignment="1">
      <alignment horizontal="center"/>
    </xf>
    <xf numFmtId="4" fontId="18" fillId="0" borderId="0" xfId="0" applyNumberFormat="1" applyFont="1" applyAlignment="1">
      <alignment horizontal="left" vertical="center" wrapText="1"/>
    </xf>
    <xf numFmtId="0" fontId="15" fillId="0" borderId="0" xfId="1" applyAlignment="1">
      <alignment horizontal="left" vertical="center" wrapText="1"/>
    </xf>
    <xf numFmtId="0" fontId="18" fillId="0" borderId="0" xfId="0" applyFont="1" applyAlignment="1">
      <alignment horizontal="left"/>
    </xf>
    <xf numFmtId="4" fontId="15" fillId="0" borderId="0" xfId="1" applyNumberFormat="1" applyAlignment="1">
      <alignment horizontal="left" vertical="center" wrapText="1"/>
    </xf>
    <xf numFmtId="0" fontId="18" fillId="0" borderId="0" xfId="0" applyFont="1" applyAlignment="1">
      <alignment horizontal="left" vertical="center"/>
    </xf>
    <xf numFmtId="0" fontId="18" fillId="0" borderId="0" xfId="12"/>
    <xf numFmtId="0" fontId="10" fillId="0" borderId="0" xfId="0" applyFont="1" applyAlignment="1">
      <alignment vertical="distributed" wrapText="1" shrinkToFit="1" readingOrder="1"/>
    </xf>
    <xf numFmtId="10" fontId="33" fillId="0" borderId="16" xfId="0" applyNumberFormat="1" applyFont="1" applyBorder="1" applyAlignment="1">
      <alignment horizontal="center" vertical="center" wrapText="1"/>
    </xf>
    <xf numFmtId="0" fontId="28" fillId="7" borderId="1" xfId="0" applyFont="1" applyFill="1" applyBorder="1" applyAlignment="1">
      <alignment horizontal="center" vertical="center" wrapText="1"/>
    </xf>
    <xf numFmtId="0" fontId="28" fillId="7" borderId="8" xfId="0" applyFont="1" applyFill="1" applyBorder="1" applyAlignment="1">
      <alignment horizontal="center" vertical="center" wrapText="1"/>
    </xf>
    <xf numFmtId="0" fontId="27" fillId="0" borderId="15" xfId="0" applyFont="1" applyBorder="1" applyAlignment="1">
      <alignment horizontal="left" vertical="center" wrapText="1"/>
    </xf>
    <xf numFmtId="0" fontId="27" fillId="0" borderId="17" xfId="0" applyFont="1" applyBorder="1" applyAlignment="1">
      <alignment horizontal="left" vertical="center" wrapText="1"/>
    </xf>
    <xf numFmtId="0" fontId="29" fillId="0" borderId="15" xfId="0" applyFont="1" applyBorder="1" applyAlignment="1">
      <alignment horizontal="left" vertical="center" wrapText="1"/>
    </xf>
    <xf numFmtId="0" fontId="27" fillId="0" borderId="5" xfId="0" applyFont="1" applyBorder="1" applyAlignment="1">
      <alignment horizontal="left" vertical="center" wrapText="1"/>
    </xf>
    <xf numFmtId="0" fontId="27" fillId="0" borderId="10" xfId="0" applyFont="1" applyBorder="1" applyAlignment="1">
      <alignment horizontal="left" vertical="center" wrapText="1"/>
    </xf>
    <xf numFmtId="0" fontId="46" fillId="3" borderId="16" xfId="0" applyFont="1" applyFill="1" applyBorder="1" applyAlignment="1">
      <alignment horizontal="center" vertical="center" wrapText="1"/>
    </xf>
    <xf numFmtId="0" fontId="60" fillId="0" borderId="33" xfId="0" applyFont="1" applyBorder="1" applyAlignment="1">
      <alignment horizontal="center" vertical="center" wrapText="1"/>
    </xf>
    <xf numFmtId="0" fontId="46" fillId="11" borderId="16" xfId="0" applyFont="1" applyFill="1" applyBorder="1" applyAlignment="1">
      <alignment horizontal="center" vertical="center" wrapText="1"/>
    </xf>
    <xf numFmtId="0" fontId="6" fillId="0" borderId="16" xfId="0" applyFont="1" applyBorder="1" applyAlignment="1">
      <alignment horizontal="center" vertical="center"/>
    </xf>
    <xf numFmtId="0" fontId="7" fillId="0" borderId="16" xfId="0" applyFont="1" applyBorder="1" applyAlignment="1">
      <alignment horizontal="center" vertical="center"/>
    </xf>
    <xf numFmtId="0" fontId="4" fillId="0" borderId="16" xfId="0" applyFont="1" applyBorder="1" applyAlignment="1">
      <alignment horizontal="center" vertical="center"/>
    </xf>
    <xf numFmtId="164" fontId="23" fillId="0" borderId="16" xfId="0" applyNumberFormat="1" applyFont="1" applyBorder="1" applyAlignment="1">
      <alignment horizontal="center" vertical="center" wrapText="1"/>
    </xf>
    <xf numFmtId="164" fontId="14" fillId="3" borderId="16" xfId="0" applyNumberFormat="1" applyFont="1" applyFill="1" applyBorder="1" applyAlignment="1">
      <alignment vertical="center" wrapText="1"/>
    </xf>
    <xf numFmtId="44" fontId="31" fillId="5" borderId="16" xfId="8" applyNumberFormat="1" applyFill="1" applyBorder="1" applyAlignment="1">
      <alignment horizontal="right" vertical="center"/>
    </xf>
    <xf numFmtId="44" fontId="31" fillId="0" borderId="17" xfId="0" applyNumberFormat="1" applyFont="1" applyBorder="1" applyAlignment="1">
      <alignment horizontal="center" vertical="center"/>
    </xf>
    <xf numFmtId="0" fontId="3"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12" fillId="0" borderId="0" xfId="0" applyFont="1" applyAlignment="1">
      <alignment horizontal="center" vertical="distributed" wrapText="1" shrinkToFit="1" readingOrder="1"/>
    </xf>
    <xf numFmtId="0" fontId="12" fillId="0" borderId="0" xfId="0" applyFont="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horizontal="center" wrapText="1"/>
    </xf>
    <xf numFmtId="0" fontId="9" fillId="0" borderId="0" xfId="0" applyFont="1" applyAlignment="1">
      <alignment horizontal="center"/>
    </xf>
    <xf numFmtId="0" fontId="14" fillId="0" borderId="0" xfId="0" applyFont="1" applyAlignment="1">
      <alignment horizontal="center" vertical="distributed" wrapText="1" shrinkToFit="1" readingOrder="1"/>
    </xf>
    <xf numFmtId="0" fontId="24" fillId="3" borderId="2"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9" fillId="0" borderId="0" xfId="0" applyFont="1" applyAlignment="1">
      <alignment horizontal="center" wrapText="1"/>
    </xf>
    <xf numFmtId="0" fontId="27" fillId="0" borderId="29"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12" xfId="0" applyFont="1" applyBorder="1" applyAlignment="1">
      <alignment horizontal="center" vertical="center" wrapText="1"/>
    </xf>
    <xf numFmtId="0" fontId="26" fillId="0" borderId="4" xfId="0" applyFont="1" applyBorder="1" applyAlignment="1">
      <alignment horizontal="center" vertical="center" wrapText="1"/>
    </xf>
    <xf numFmtId="0" fontId="42" fillId="0" borderId="4" xfId="0" applyFont="1" applyBorder="1"/>
    <xf numFmtId="0" fontId="42" fillId="0" borderId="17" xfId="0" applyFont="1" applyBorder="1"/>
    <xf numFmtId="0" fontId="46" fillId="3" borderId="15" xfId="0" applyFont="1" applyFill="1" applyBorder="1" applyAlignment="1">
      <alignment horizontal="center" vertical="center" wrapText="1"/>
    </xf>
    <xf numFmtId="0" fontId="46" fillId="3" borderId="16"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1" fillId="0" borderId="5"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10" xfId="0" applyFont="1" applyBorder="1" applyAlignment="1">
      <alignment horizontal="center" vertical="center" wrapText="1"/>
    </xf>
    <xf numFmtId="0" fontId="28" fillId="3" borderId="21" xfId="0" applyFont="1" applyFill="1" applyBorder="1" applyAlignment="1">
      <alignment horizontal="center"/>
    </xf>
    <xf numFmtId="0" fontId="28" fillId="3" borderId="22" xfId="0" applyFont="1" applyFill="1" applyBorder="1" applyAlignment="1">
      <alignment horizontal="center"/>
    </xf>
    <xf numFmtId="0" fontId="28" fillId="3" borderId="23" xfId="0" applyFont="1" applyFill="1" applyBorder="1" applyAlignment="1">
      <alignment horizontal="center"/>
    </xf>
    <xf numFmtId="0" fontId="28" fillId="0" borderId="15" xfId="0" applyFont="1" applyBorder="1" applyAlignment="1">
      <alignment horizontal="center" vertical="center"/>
    </xf>
    <xf numFmtId="0" fontId="28" fillId="0" borderId="16" xfId="6" applyFont="1" applyBorder="1" applyAlignment="1">
      <alignment horizontal="center" vertical="center" wrapText="1"/>
    </xf>
    <xf numFmtId="0" fontId="28" fillId="0" borderId="16" xfId="0" applyFont="1" applyBorder="1" applyAlignment="1">
      <alignment horizontal="center" vertical="top" wrapText="1"/>
    </xf>
    <xf numFmtId="0" fontId="28" fillId="0" borderId="17" xfId="6" applyFont="1" applyBorder="1" applyAlignment="1">
      <alignment horizontal="center" vertical="center" wrapText="1"/>
    </xf>
    <xf numFmtId="0" fontId="30" fillId="10" borderId="3" xfId="0" applyFont="1" applyFill="1" applyBorder="1" applyAlignment="1">
      <alignment horizontal="center" vertical="center"/>
    </xf>
    <xf numFmtId="0" fontId="30" fillId="10" borderId="6" xfId="0" applyFont="1" applyFill="1" applyBorder="1" applyAlignment="1">
      <alignment horizontal="center" vertical="center"/>
    </xf>
    <xf numFmtId="0" fontId="50" fillId="10" borderId="5" xfId="0" applyFont="1" applyFill="1" applyBorder="1" applyAlignment="1">
      <alignment horizontal="center" vertical="center"/>
    </xf>
    <xf numFmtId="0" fontId="50" fillId="10" borderId="9" xfId="0" applyFont="1" applyFill="1" applyBorder="1" applyAlignment="1">
      <alignment horizontal="center" vertical="center"/>
    </xf>
    <xf numFmtId="0" fontId="55" fillId="10" borderId="4" xfId="0" applyFont="1" applyFill="1" applyBorder="1" applyAlignment="1">
      <alignment horizontal="center" vertical="center" wrapText="1"/>
    </xf>
    <xf numFmtId="0" fontId="31" fillId="0" borderId="4" xfId="0" applyFont="1" applyBorder="1"/>
    <xf numFmtId="0" fontId="30" fillId="7" borderId="3" xfId="0" applyFont="1" applyFill="1" applyBorder="1" applyAlignment="1">
      <alignment horizontal="center" vertical="center"/>
    </xf>
    <xf numFmtId="0" fontId="30" fillId="7" borderId="6" xfId="0" applyFont="1" applyFill="1" applyBorder="1"/>
    <xf numFmtId="0" fontId="50" fillId="10" borderId="3" xfId="0" applyFont="1" applyFill="1" applyBorder="1" applyAlignment="1">
      <alignment horizontal="center" vertical="center" wrapText="1"/>
    </xf>
    <xf numFmtId="0" fontId="49" fillId="0" borderId="6" xfId="0" applyFont="1" applyBorder="1"/>
    <xf numFmtId="0" fontId="49" fillId="0" borderId="4" xfId="0" applyFont="1" applyBorder="1"/>
    <xf numFmtId="0" fontId="30" fillId="10" borderId="3" xfId="0" applyFont="1" applyFill="1" applyBorder="1" applyAlignment="1">
      <alignment horizontal="center" vertical="center" wrapText="1"/>
    </xf>
    <xf numFmtId="0" fontId="31" fillId="0" borderId="3" xfId="0" applyFont="1" applyBorder="1"/>
    <xf numFmtId="0" fontId="30" fillId="10" borderId="6" xfId="0" applyFont="1" applyFill="1" applyBorder="1" applyAlignment="1">
      <alignment horizontal="center" vertical="center" wrapText="1"/>
    </xf>
    <xf numFmtId="0" fontId="31" fillId="0" borderId="6" xfId="0" applyFont="1" applyBorder="1"/>
    <xf numFmtId="0" fontId="50" fillId="10" borderId="1" xfId="0" applyFont="1" applyFill="1" applyBorder="1" applyAlignment="1">
      <alignment horizontal="center" vertical="center" wrapText="1"/>
    </xf>
    <xf numFmtId="0" fontId="49" fillId="0" borderId="7" xfId="0" applyFont="1" applyBorder="1"/>
    <xf numFmtId="0" fontId="49" fillId="0" borderId="8" xfId="0" applyFont="1" applyBorder="1"/>
    <xf numFmtId="0" fontId="22" fillId="0" borderId="0" xfId="0" applyFont="1" applyAlignment="1">
      <alignment horizontal="center" wrapText="1"/>
    </xf>
    <xf numFmtId="0" fontId="22" fillId="0" borderId="0" xfId="0" applyFont="1" applyAlignment="1">
      <alignment horizontal="center"/>
    </xf>
    <xf numFmtId="0" fontId="42" fillId="0" borderId="15" xfId="0" applyFont="1" applyBorder="1" applyAlignment="1">
      <alignment horizontal="center" vertical="top" wrapText="1"/>
    </xf>
    <xf numFmtId="0" fontId="42" fillId="0" borderId="16" xfId="0" applyFont="1" applyBorder="1" applyAlignment="1">
      <alignment horizontal="center" vertical="top" wrapText="1"/>
    </xf>
    <xf numFmtId="0" fontId="54" fillId="0" borderId="5" xfId="0" applyFont="1" applyBorder="1" applyAlignment="1">
      <alignment horizontal="center" vertical="top" wrapText="1"/>
    </xf>
    <xf numFmtId="0" fontId="54" fillId="0" borderId="9" xfId="0" applyFont="1" applyBorder="1" applyAlignment="1">
      <alignment horizontal="center" vertical="top" wrapText="1"/>
    </xf>
    <xf numFmtId="0" fontId="47" fillId="0" borderId="0" xfId="0" applyFont="1" applyAlignment="1">
      <alignment horizontal="left" vertical="top" wrapText="1"/>
    </xf>
    <xf numFmtId="0" fontId="57" fillId="0" borderId="0" xfId="0" applyFont="1" applyAlignment="1">
      <alignment horizontal="center" vertical="top" wrapText="1"/>
    </xf>
    <xf numFmtId="0" fontId="32" fillId="0" borderId="0" xfId="0" applyFont="1" applyAlignment="1">
      <alignment horizontal="center" wrapText="1"/>
    </xf>
    <xf numFmtId="0" fontId="32" fillId="0" borderId="0" xfId="0" applyFont="1" applyAlignment="1">
      <alignment horizontal="center"/>
    </xf>
    <xf numFmtId="0" fontId="23" fillId="0" borderId="0" xfId="0" applyFont="1" applyAlignment="1">
      <alignment horizontal="center" vertical="center" wrapText="1"/>
    </xf>
    <xf numFmtId="0" fontId="41" fillId="3" borderId="15" xfId="0" applyFont="1" applyFill="1" applyBorder="1" applyAlignment="1">
      <alignment horizontal="center" vertical="top" wrapText="1"/>
    </xf>
    <xf numFmtId="0" fontId="41" fillId="3" borderId="16" xfId="0" applyFont="1" applyFill="1" applyBorder="1" applyAlignment="1">
      <alignment horizontal="center" vertical="top" wrapText="1"/>
    </xf>
    <xf numFmtId="0" fontId="59" fillId="15" borderId="30" xfId="0" applyFont="1" applyFill="1" applyBorder="1" applyAlignment="1">
      <alignment horizontal="center" vertical="center" wrapText="1"/>
    </xf>
    <xf numFmtId="0" fontId="59" fillId="15" borderId="36" xfId="0" applyFont="1" applyFill="1" applyBorder="1" applyAlignment="1">
      <alignment horizontal="center" vertical="center" wrapText="1"/>
    </xf>
    <xf numFmtId="0" fontId="12" fillId="0" borderId="39" xfId="0" applyFont="1" applyBorder="1" applyAlignment="1">
      <alignment horizontal="center" vertical="center" wrapText="1"/>
    </xf>
    <xf numFmtId="0" fontId="59" fillId="13" borderId="30" xfId="0" applyFont="1" applyFill="1" applyBorder="1" applyAlignment="1">
      <alignment horizontal="center" vertical="center"/>
    </xf>
    <xf numFmtId="0" fontId="60" fillId="0" borderId="33"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30" xfId="0" applyFont="1" applyBorder="1" applyAlignment="1">
      <alignment horizontal="center" vertical="center"/>
    </xf>
    <xf numFmtId="0" fontId="0" fillId="8" borderId="1" xfId="0" applyFill="1" applyBorder="1" applyAlignment="1">
      <alignment horizontal="left" vertical="center"/>
    </xf>
    <xf numFmtId="0" fontId="0" fillId="8" borderId="7" xfId="0" applyFill="1" applyBorder="1" applyAlignment="1">
      <alignment horizontal="left" vertical="center"/>
    </xf>
    <xf numFmtId="0" fontId="0" fillId="8" borderId="8" xfId="0" applyFill="1" applyBorder="1" applyAlignment="1">
      <alignment horizontal="left" vertical="center"/>
    </xf>
    <xf numFmtId="0" fontId="36" fillId="9" borderId="3" xfId="0" applyFont="1" applyFill="1" applyBorder="1" applyAlignment="1">
      <alignment horizontal="left" vertical="center" wrapText="1"/>
    </xf>
    <xf numFmtId="0" fontId="36" fillId="9" borderId="6" xfId="0" applyFont="1" applyFill="1" applyBorder="1" applyAlignment="1">
      <alignment horizontal="left" vertical="center" wrapText="1"/>
    </xf>
    <xf numFmtId="0" fontId="69" fillId="4" borderId="6" xfId="0" applyFont="1" applyFill="1" applyBorder="1" applyAlignment="1">
      <alignment horizontal="center" vertical="center"/>
    </xf>
    <xf numFmtId="0" fontId="69" fillId="4" borderId="4" xfId="0" applyFont="1" applyFill="1" applyBorder="1" applyAlignment="1">
      <alignment horizontal="center" vertical="center"/>
    </xf>
    <xf numFmtId="0" fontId="12" fillId="4" borderId="0" xfId="0" applyFont="1" applyFill="1" applyAlignment="1">
      <alignment horizontal="center" vertical="center" wrapText="1"/>
    </xf>
    <xf numFmtId="0" fontId="22" fillId="8" borderId="1" xfId="0" applyFont="1" applyFill="1" applyBorder="1" applyAlignment="1">
      <alignment horizontal="left" vertical="center" wrapText="1"/>
    </xf>
    <xf numFmtId="0" fontId="22" fillId="8" borderId="7" xfId="0" applyFont="1" applyFill="1" applyBorder="1" applyAlignment="1">
      <alignment horizontal="left" vertical="center" wrapText="1"/>
    </xf>
    <xf numFmtId="0" fontId="12" fillId="8" borderId="7" xfId="0" applyFont="1" applyFill="1" applyBorder="1" applyAlignment="1">
      <alignment horizontal="left" vertical="center" wrapText="1"/>
    </xf>
    <xf numFmtId="0" fontId="12" fillId="8" borderId="8" xfId="0" applyFont="1" applyFill="1" applyBorder="1" applyAlignment="1">
      <alignment horizontal="left" vertical="center" wrapText="1"/>
    </xf>
    <xf numFmtId="0" fontId="0" fillId="4" borderId="5" xfId="0" applyFill="1" applyBorder="1" applyAlignment="1">
      <alignment horizontal="center" vertical="center"/>
    </xf>
    <xf numFmtId="0" fontId="0" fillId="4" borderId="9" xfId="0" applyFill="1" applyBorder="1" applyAlignment="1">
      <alignment horizontal="center" vertical="center"/>
    </xf>
    <xf numFmtId="0" fontId="34" fillId="4" borderId="43" xfId="0" applyFont="1" applyFill="1" applyBorder="1" applyAlignment="1">
      <alignment horizontal="center" vertical="center"/>
    </xf>
    <xf numFmtId="0" fontId="34" fillId="4" borderId="44" xfId="0" applyFont="1" applyFill="1" applyBorder="1" applyAlignment="1">
      <alignment horizontal="center" vertical="center"/>
    </xf>
    <xf numFmtId="0" fontId="34" fillId="4" borderId="45" xfId="0" applyFont="1" applyFill="1" applyBorder="1" applyAlignment="1">
      <alignment horizontal="center" vertical="center"/>
    </xf>
    <xf numFmtId="0" fontId="37" fillId="9" borderId="3" xfId="0" applyFont="1" applyFill="1" applyBorder="1" applyAlignment="1">
      <alignment horizontal="left" vertical="center" wrapText="1"/>
    </xf>
    <xf numFmtId="0" fontId="37" fillId="9" borderId="6" xfId="0" applyFont="1" applyFill="1" applyBorder="1" applyAlignment="1">
      <alignment horizontal="left" vertical="center" wrapText="1"/>
    </xf>
    <xf numFmtId="0" fontId="36" fillId="9" borderId="5" xfId="0" applyFont="1" applyFill="1" applyBorder="1" applyAlignment="1">
      <alignment horizontal="left" vertical="center" wrapText="1"/>
    </xf>
    <xf numFmtId="0" fontId="36" fillId="9" borderId="9" xfId="0" applyFont="1" applyFill="1" applyBorder="1" applyAlignment="1">
      <alignment horizontal="left" vertical="center" wrapText="1"/>
    </xf>
    <xf numFmtId="0" fontId="40" fillId="8" borderId="1" xfId="0" applyFont="1" applyFill="1" applyBorder="1" applyAlignment="1">
      <alignment horizontal="left" vertical="center"/>
    </xf>
    <xf numFmtId="0" fontId="40" fillId="8" borderId="7" xfId="0" applyFont="1" applyFill="1" applyBorder="1" applyAlignment="1">
      <alignment horizontal="left" vertical="center"/>
    </xf>
    <xf numFmtId="0" fontId="12" fillId="0" borderId="16" xfId="0" applyFont="1" applyBorder="1" applyAlignment="1" applyProtection="1">
      <alignment horizontal="left" vertical="center"/>
      <protection locked="0"/>
    </xf>
    <xf numFmtId="0" fontId="23" fillId="0" borderId="16" xfId="0" applyFont="1" applyBorder="1" applyAlignment="1">
      <alignment horizontal="left" vertical="center" wrapText="1"/>
    </xf>
    <xf numFmtId="0" fontId="23" fillId="5" borderId="16" xfId="0" applyFont="1" applyFill="1" applyBorder="1" applyAlignment="1">
      <alignment horizontal="left" vertical="center" wrapText="1"/>
    </xf>
    <xf numFmtId="0" fontId="22" fillId="8" borderId="1" xfId="0" applyFont="1" applyFill="1" applyBorder="1" applyAlignment="1">
      <alignment horizontal="center" vertical="center"/>
    </xf>
    <xf numFmtId="0" fontId="22" fillId="8" borderId="7" xfId="0" applyFont="1" applyFill="1" applyBorder="1" applyAlignment="1">
      <alignment horizontal="center" vertical="center"/>
    </xf>
    <xf numFmtId="0" fontId="22" fillId="8" borderId="8" xfId="0" applyFont="1" applyFill="1" applyBorder="1" applyAlignment="1">
      <alignment horizontal="center" vertical="center"/>
    </xf>
    <xf numFmtId="0" fontId="12" fillId="7" borderId="1"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23" fillId="0" borderId="16" xfId="0" applyFont="1" applyBorder="1" applyAlignment="1" applyProtection="1">
      <alignment horizontal="left" vertical="center"/>
      <protection locked="0"/>
    </xf>
    <xf numFmtId="0" fontId="23" fillId="0" borderId="6" xfId="0" applyFont="1" applyBorder="1" applyAlignment="1" applyProtection="1">
      <alignment horizontal="left" vertical="center" wrapText="1"/>
      <protection locked="0"/>
    </xf>
    <xf numFmtId="0" fontId="12" fillId="0" borderId="9" xfId="0" applyFont="1" applyBorder="1" applyAlignment="1" applyProtection="1">
      <alignment horizontal="left" vertical="center"/>
      <protection locked="0"/>
    </xf>
    <xf numFmtId="0" fontId="0" fillId="0" borderId="0" xfId="0" applyAlignment="1" applyProtection="1">
      <alignment horizontal="center" vertical="center"/>
      <protection locked="0"/>
    </xf>
    <xf numFmtId="0" fontId="12" fillId="7" borderId="1" xfId="0" applyFont="1" applyFill="1" applyBorder="1" applyAlignment="1" applyProtection="1">
      <alignment horizontal="left" vertical="center"/>
      <protection locked="0"/>
    </xf>
    <xf numFmtId="0" fontId="12" fillId="7" borderId="7" xfId="0" applyFont="1" applyFill="1" applyBorder="1" applyAlignment="1" applyProtection="1">
      <alignment horizontal="left" vertical="center"/>
      <protection locked="0"/>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7" borderId="1" xfId="0" applyFont="1" applyFill="1" applyBorder="1" applyAlignment="1" applyProtection="1">
      <alignment horizontal="left" vertical="center" wrapText="1"/>
      <protection locked="0"/>
    </xf>
    <xf numFmtId="0" fontId="12" fillId="7" borderId="7" xfId="0" applyFont="1" applyFill="1" applyBorder="1" applyAlignment="1" applyProtection="1">
      <alignment horizontal="left" vertical="center" wrapText="1"/>
      <protection locked="0"/>
    </xf>
    <xf numFmtId="0" fontId="12" fillId="0" borderId="16" xfId="0" applyFont="1" applyBorder="1" applyAlignment="1">
      <alignment horizontal="left" vertical="center" wrapText="1"/>
    </xf>
    <xf numFmtId="0" fontId="12" fillId="0" borderId="9" xfId="0" applyFont="1" applyBorder="1" applyAlignment="1">
      <alignment horizontal="left" vertical="center" wrapText="1"/>
    </xf>
    <xf numFmtId="0" fontId="23" fillId="0" borderId="16" xfId="1" applyFont="1" applyBorder="1" applyAlignment="1">
      <alignment horizontal="left" vertical="center" wrapText="1"/>
    </xf>
    <xf numFmtId="0" fontId="12" fillId="7" borderId="13"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0" borderId="25" xfId="0" applyFont="1" applyBorder="1" applyAlignment="1">
      <alignment horizontal="left" vertical="center" wrapText="1"/>
    </xf>
    <xf numFmtId="0" fontId="23" fillId="4" borderId="25" xfId="0" applyFont="1" applyFill="1" applyBorder="1" applyAlignment="1">
      <alignment horizontal="left" vertical="center"/>
    </xf>
    <xf numFmtId="0" fontId="12" fillId="0" borderId="27" xfId="0" applyFont="1" applyBorder="1" applyAlignment="1">
      <alignment horizontal="left" vertical="center" wrapText="1"/>
    </xf>
    <xf numFmtId="0" fontId="23" fillId="0" borderId="16" xfId="0" applyFont="1" applyBorder="1" applyAlignment="1" applyProtection="1">
      <alignment horizontal="left" vertical="center" wrapText="1"/>
      <protection locked="0"/>
    </xf>
    <xf numFmtId="0" fontId="12" fillId="2" borderId="18" xfId="0" applyFont="1" applyFill="1" applyBorder="1" applyAlignment="1">
      <alignment horizontal="center" vertical="center"/>
    </xf>
    <xf numFmtId="0" fontId="12" fillId="8" borderId="1" xfId="0" applyFont="1" applyFill="1" applyBorder="1" applyAlignment="1">
      <alignment horizontal="center" vertical="center"/>
    </xf>
    <xf numFmtId="0" fontId="12" fillId="8" borderId="7" xfId="0" applyFont="1" applyFill="1" applyBorder="1" applyAlignment="1">
      <alignment horizontal="center" vertical="center"/>
    </xf>
    <xf numFmtId="0" fontId="12" fillId="2" borderId="0" xfId="0" applyFont="1" applyFill="1" applyAlignment="1">
      <alignment horizontal="center" vertical="center"/>
    </xf>
    <xf numFmtId="0" fontId="24" fillId="3" borderId="5" xfId="0" applyFont="1" applyFill="1" applyBorder="1" applyAlignment="1">
      <alignment horizontal="center" vertical="center"/>
    </xf>
    <xf numFmtId="0" fontId="24" fillId="3" borderId="9" xfId="0" applyFont="1" applyFill="1" applyBorder="1" applyAlignment="1">
      <alignment horizontal="center" vertical="center"/>
    </xf>
    <xf numFmtId="0" fontId="10" fillId="0" borderId="0" xfId="0" applyFont="1" applyAlignment="1">
      <alignment horizontal="center" vertical="distributed" wrapText="1" shrinkToFit="1" readingOrder="1"/>
    </xf>
    <xf numFmtId="0" fontId="11" fillId="0" borderId="0" xfId="0" applyFont="1" applyAlignment="1">
      <alignment horizontal="center" vertical="center" wrapText="1"/>
    </xf>
    <xf numFmtId="0" fontId="12" fillId="2" borderId="1" xfId="0" applyFont="1" applyFill="1" applyBorder="1" applyAlignment="1">
      <alignment horizontal="center"/>
    </xf>
    <xf numFmtId="0" fontId="24" fillId="2" borderId="7" xfId="0" applyFont="1" applyFill="1" applyBorder="1" applyAlignment="1">
      <alignment horizontal="center"/>
    </xf>
    <xf numFmtId="0" fontId="24" fillId="2" borderId="8" xfId="0" applyFont="1" applyFill="1" applyBorder="1" applyAlignment="1">
      <alignment horizontal="center"/>
    </xf>
    <xf numFmtId="0" fontId="15" fillId="0" borderId="0" xfId="1" applyAlignment="1">
      <alignment horizontal="left" vertical="center" wrapText="1"/>
    </xf>
    <xf numFmtId="4" fontId="15" fillId="0" borderId="0" xfId="1" applyNumberFormat="1" applyAlignment="1">
      <alignment horizontal="left" vertical="center" wrapText="1"/>
    </xf>
    <xf numFmtId="0" fontId="63" fillId="0" borderId="63" xfId="0" applyFont="1" applyBorder="1" applyAlignment="1">
      <alignment horizontal="center" vertical="center"/>
    </xf>
    <xf numFmtId="0" fontId="63" fillId="0" borderId="64" xfId="0" applyFont="1" applyBorder="1" applyAlignment="1">
      <alignment horizontal="center" vertical="center"/>
    </xf>
    <xf numFmtId="0" fontId="70" fillId="0" borderId="47" xfId="0" applyFont="1" applyBorder="1" applyAlignment="1">
      <alignment horizontal="center" vertical="top" wrapText="1"/>
    </xf>
    <xf numFmtId="0" fontId="71" fillId="0" borderId="50" xfId="0" applyFont="1" applyBorder="1" applyAlignment="1">
      <alignment horizontal="center" vertical="top" wrapText="1"/>
    </xf>
    <xf numFmtId="0" fontId="72" fillId="0" borderId="66" xfId="0" applyFont="1" applyBorder="1" applyAlignment="1">
      <alignment horizontal="center" vertical="distributed" wrapText="1"/>
    </xf>
    <xf numFmtId="0" fontId="72" fillId="0" borderId="0" xfId="0" applyFont="1" applyAlignment="1">
      <alignment horizontal="center" vertical="distributed" wrapText="1"/>
    </xf>
    <xf numFmtId="0" fontId="33" fillId="0" borderId="50" xfId="0" applyFont="1" applyBorder="1" applyAlignment="1">
      <alignment horizontal="left" vertical="center"/>
    </xf>
    <xf numFmtId="0" fontId="33" fillId="0" borderId="52" xfId="0" applyFont="1" applyBorder="1" applyAlignment="1">
      <alignment horizontal="center" vertical="center"/>
    </xf>
    <xf numFmtId="0" fontId="33" fillId="0" borderId="53" xfId="0" applyFont="1" applyBorder="1" applyAlignment="1">
      <alignment horizontal="center" vertical="center"/>
    </xf>
    <xf numFmtId="0" fontId="63" fillId="0" borderId="54" xfId="0" applyFont="1" applyBorder="1" applyAlignment="1">
      <alignment horizontal="center" vertical="center"/>
    </xf>
    <xf numFmtId="0" fontId="63" fillId="0" borderId="55" xfId="0" applyFont="1" applyBorder="1" applyAlignment="1">
      <alignment horizontal="center" vertical="center"/>
    </xf>
    <xf numFmtId="0" fontId="63" fillId="0" borderId="53" xfId="0" applyFont="1" applyBorder="1" applyAlignment="1">
      <alignment horizontal="center" vertical="center"/>
    </xf>
    <xf numFmtId="0" fontId="33" fillId="0" borderId="56" xfId="0" applyFont="1" applyBorder="1" applyAlignment="1">
      <alignment horizontal="center" vertical="center"/>
    </xf>
    <xf numFmtId="0" fontId="33" fillId="0" borderId="58" xfId="0" applyFont="1" applyBorder="1" applyAlignment="1">
      <alignment horizontal="center" vertical="center"/>
    </xf>
    <xf numFmtId="0" fontId="33" fillId="0" borderId="61" xfId="0" applyFont="1" applyBorder="1" applyAlignment="1">
      <alignment horizontal="center" vertical="center"/>
    </xf>
    <xf numFmtId="0" fontId="63" fillId="0" borderId="57" xfId="0" applyFont="1" applyBorder="1" applyAlignment="1">
      <alignment horizontal="center" vertical="center" wrapText="1"/>
    </xf>
    <xf numFmtId="0" fontId="63" fillId="0" borderId="59" xfId="0" applyFont="1" applyBorder="1" applyAlignment="1">
      <alignment horizontal="center" vertical="center" wrapText="1"/>
    </xf>
    <xf numFmtId="0" fontId="63" fillId="0" borderId="62" xfId="0" applyFont="1" applyBorder="1" applyAlignment="1">
      <alignment horizontal="center" vertical="center" wrapText="1"/>
    </xf>
    <xf numFmtId="0" fontId="63" fillId="0" borderId="47" xfId="0" applyFont="1" applyBorder="1" applyAlignment="1">
      <alignment horizontal="center" vertical="center"/>
    </xf>
    <xf numFmtId="0" fontId="33" fillId="0" borderId="52" xfId="0" applyFont="1" applyBorder="1" applyAlignment="1">
      <alignment horizontal="left" vertical="center"/>
    </xf>
    <xf numFmtId="0" fontId="33" fillId="0" borderId="53" xfId="0" applyFont="1" applyBorder="1" applyAlignment="1">
      <alignment horizontal="left" vertical="center"/>
    </xf>
    <xf numFmtId="0" fontId="24" fillId="3" borderId="16" xfId="0" applyFont="1" applyFill="1" applyBorder="1" applyAlignment="1">
      <alignment horizontal="center" vertical="center"/>
    </xf>
    <xf numFmtId="0" fontId="12" fillId="2" borderId="2" xfId="0" applyFont="1" applyFill="1" applyBorder="1" applyAlignment="1">
      <alignment horizontal="center"/>
    </xf>
    <xf numFmtId="0" fontId="12" fillId="2" borderId="40" xfId="0" applyFont="1" applyFill="1" applyBorder="1" applyAlignment="1">
      <alignment horizontal="center"/>
    </xf>
    <xf numFmtId="0" fontId="12" fillId="2" borderId="41" xfId="0" applyFont="1" applyFill="1" applyBorder="1" applyAlignment="1">
      <alignment horizontal="center"/>
    </xf>
    <xf numFmtId="0" fontId="12" fillId="2" borderId="16" xfId="0" applyFont="1" applyFill="1" applyBorder="1" applyAlignment="1">
      <alignment horizontal="center"/>
    </xf>
    <xf numFmtId="0" fontId="22" fillId="3" borderId="16" xfId="0" applyFont="1" applyFill="1" applyBorder="1" applyAlignment="1">
      <alignment horizontal="center" vertical="center" wrapText="1"/>
    </xf>
  </cellXfs>
  <cellStyles count="14">
    <cellStyle name="Moeda" xfId="7" builtinId="4"/>
    <cellStyle name="Moeda 2" xfId="2" xr:uid="{00000000-0005-0000-0000-000001000000}"/>
    <cellStyle name="Normal" xfId="0" builtinId="0"/>
    <cellStyle name="Normal 2" xfId="1" xr:uid="{00000000-0005-0000-0000-000003000000}"/>
    <cellStyle name="Normal 2 2" xfId="6" xr:uid="{00000000-0005-0000-0000-000004000000}"/>
    <cellStyle name="Normal 3" xfId="3" xr:uid="{00000000-0005-0000-0000-000005000000}"/>
    <cellStyle name="Normal 4" xfId="4" xr:uid="{00000000-0005-0000-0000-000006000000}"/>
    <cellStyle name="Normal 5" xfId="5" xr:uid="{00000000-0005-0000-0000-000007000000}"/>
    <cellStyle name="Normal 6" xfId="8" xr:uid="{00000000-0005-0000-0000-000008000000}"/>
    <cellStyle name="Normal 7" xfId="9" xr:uid="{00000000-0005-0000-0000-000009000000}"/>
    <cellStyle name="Normal 8" xfId="13" xr:uid="{CD708636-4A12-47DD-8438-71A10CC5143E}"/>
    <cellStyle name="Normal_Anexo VII-C TP -201 Composição do BDI" xfId="12" xr:uid="{D990D420-1089-46B6-B8EF-F75EC13DE1ED}"/>
    <cellStyle name="Porcentagem" xfId="10" builtinId="5"/>
    <cellStyle name="Porcentagem 2" xfId="11" xr:uid="{795A72FD-7B48-40D5-801E-7DD6CD4A4BDA}"/>
  </cellStyles>
  <dxfs count="0"/>
  <tableStyles count="0" defaultTableStyle="TableStyleMedium2" defaultPivotStyle="PivotStyleLight16"/>
  <colors>
    <mruColors>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Anexo IV B BDI Servi&#231;os'!A1"/><Relationship Id="rId3" Type="http://schemas.openxmlformats.org/officeDocument/2006/relationships/hyperlink" Target="#'An IIIA Postos 1'!A1"/><Relationship Id="rId7" Type="http://schemas.openxmlformats.org/officeDocument/2006/relationships/hyperlink" Target="#'An IIB Rela&#231;&#227;o das Unidades'!A1"/><Relationship Id="rId12" Type="http://schemas.openxmlformats.org/officeDocument/2006/relationships/hyperlink" Target="#'Anexo IV D Custos Eventuais'!A1"/><Relationship Id="rId2" Type="http://schemas.openxmlformats.org/officeDocument/2006/relationships/hyperlink" Target="#'An IIC Uniformes e EPIS'!A1"/><Relationship Id="rId1" Type="http://schemas.openxmlformats.org/officeDocument/2006/relationships/hyperlink" Target="#'An IIA Relacao Postos'!A1"/><Relationship Id="rId6" Type="http://schemas.openxmlformats.org/officeDocument/2006/relationships/hyperlink" Target="#'An IIA Distribui&#231;&#227;o Postos'!A1"/><Relationship Id="rId11" Type="http://schemas.openxmlformats.org/officeDocument/2006/relationships/hyperlink" Target="#'Anexo IV E Custos Totais'!A1"/><Relationship Id="rId5" Type="http://schemas.openxmlformats.org/officeDocument/2006/relationships/hyperlink" Target="#'An IID Equipamentos'!A1"/><Relationship Id="rId10" Type="http://schemas.openxmlformats.org/officeDocument/2006/relationships/hyperlink" Target="#'Anexo IV C BDI Material'!A1"/><Relationship Id="rId4" Type="http://schemas.openxmlformats.org/officeDocument/2006/relationships/hyperlink" Target="#'Anexo IV A Custos M&#227;o de Obra'!A1"/><Relationship Id="rId9" Type="http://schemas.openxmlformats.org/officeDocument/2006/relationships/hyperlink" Target="#'An IIE Dist. Equip.'!A1"/></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371475</xdr:colOff>
      <xdr:row>11</xdr:row>
      <xdr:rowOff>47625</xdr:rowOff>
    </xdr:to>
    <xdr:sp macro="" textlink="">
      <xdr:nvSpPr>
        <xdr:cNvPr id="2" name="Retângulo de cantos arredondados 3">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0" y="1626870"/>
          <a:ext cx="2393315"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A - Relação dos Postos (informativo)</a:t>
          </a:r>
          <a:endParaRPr lang="pt-PT" sz="1200" b="1">
            <a:latin typeface="Calibri" panose="020F0502020204030204" pitchFamily="34" charset="0"/>
            <a:cs typeface="Arial" panose="020B0604020202020204" pitchFamily="7" charset="0"/>
          </a:endParaRPr>
        </a:p>
      </xdr:txBody>
    </xdr:sp>
    <xdr:clientData/>
  </xdr:twoCellAnchor>
  <xdr:twoCellAnchor>
    <xdr:from>
      <xdr:col>5</xdr:col>
      <xdr:colOff>171450</xdr:colOff>
      <xdr:row>6</xdr:row>
      <xdr:rowOff>180975</xdr:rowOff>
    </xdr:from>
    <xdr:to>
      <xdr:col>9</xdr:col>
      <xdr:colOff>78105</xdr:colOff>
      <xdr:row>11</xdr:row>
      <xdr:rowOff>38100</xdr:rowOff>
    </xdr:to>
    <xdr:sp macro="" textlink="">
      <xdr:nvSpPr>
        <xdr:cNvPr id="5" name="Retângulo de cantos arredondados 3">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5429250" y="1609725"/>
          <a:ext cx="237363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C - Relação </a:t>
          </a:r>
          <a:r>
            <a:rPr lang="pt-PT" sz="1100" b="1" baseline="0">
              <a:solidFill>
                <a:schemeClr val="lt1"/>
              </a:solidFill>
              <a:effectLst/>
              <a:latin typeface="+mn-lt"/>
              <a:ea typeface="+mn-ea"/>
              <a:cs typeface="+mn-cs"/>
            </a:rPr>
            <a:t>dos Uniformes, EPIS e Materiais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5</xdr:col>
      <xdr:colOff>161925</xdr:colOff>
      <xdr:row>12</xdr:row>
      <xdr:rowOff>144780</xdr:rowOff>
    </xdr:from>
    <xdr:to>
      <xdr:col>9</xdr:col>
      <xdr:colOff>85725</xdr:colOff>
      <xdr:row>16</xdr:row>
      <xdr:rowOff>177165</xdr:rowOff>
    </xdr:to>
    <xdr:sp macro="" textlink="">
      <xdr:nvSpPr>
        <xdr:cNvPr id="6" name="Retângulo de cantos arredondados 3">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5419725" y="2716530"/>
          <a:ext cx="2390775" cy="803910"/>
        </a:xfrm>
        <a:prstGeom prst="roundRect">
          <a:avLst>
            <a:gd name="adj" fmla="val 4819"/>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IIIA - Custo Grupo postos 1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26670</xdr:colOff>
      <xdr:row>18</xdr:row>
      <xdr:rowOff>93345</xdr:rowOff>
    </xdr:from>
    <xdr:to>
      <xdr:col>2</xdr:col>
      <xdr:colOff>388620</xdr:colOff>
      <xdr:row>22</xdr:row>
      <xdr:rowOff>140970</xdr:rowOff>
    </xdr:to>
    <xdr:sp macro="" textlink="">
      <xdr:nvSpPr>
        <xdr:cNvPr id="15" name="Retângulo de cantos arredondados 3">
          <a:hlinkClick xmlns:r="http://schemas.openxmlformats.org/officeDocument/2006/relationships" r:id="rId4"/>
          <a:extLst>
            <a:ext uri="{FF2B5EF4-FFF2-40B4-BE49-F238E27FC236}">
              <a16:creationId xmlns:a16="http://schemas.microsoft.com/office/drawing/2014/main" id="{00000000-0008-0000-0000-00000F000000}"/>
            </a:ext>
          </a:extLst>
        </xdr:cNvPr>
        <xdr:cNvSpPr/>
      </xdr:nvSpPr>
      <xdr:spPr>
        <a:xfrm>
          <a:off x="26670" y="3817620"/>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A- Composição custos mão de obra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0</xdr:colOff>
      <xdr:row>13</xdr:row>
      <xdr:rowOff>9525</xdr:rowOff>
    </xdr:from>
    <xdr:to>
      <xdr:col>2</xdr:col>
      <xdr:colOff>371475</xdr:colOff>
      <xdr:row>17</xdr:row>
      <xdr:rowOff>41910</xdr:rowOff>
    </xdr:to>
    <xdr:sp macro="" textlink="">
      <xdr:nvSpPr>
        <xdr:cNvPr id="7" name="Retângulo de cantos arredondados 3">
          <a:hlinkClick xmlns:r="http://schemas.openxmlformats.org/officeDocument/2006/relationships" r:id="rId5"/>
          <a:extLst>
            <a:ext uri="{FF2B5EF4-FFF2-40B4-BE49-F238E27FC236}">
              <a16:creationId xmlns:a16="http://schemas.microsoft.com/office/drawing/2014/main" id="{C5564AD9-75A6-4310-B360-292B22E3F8FB}"/>
            </a:ext>
          </a:extLst>
        </xdr:cNvPr>
        <xdr:cNvSpPr/>
      </xdr:nvSpPr>
      <xdr:spPr>
        <a:xfrm>
          <a:off x="0" y="2771775"/>
          <a:ext cx="2390775" cy="803910"/>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II-D - Relação dos Equipamentos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0</xdr:colOff>
      <xdr:row>7</xdr:row>
      <xdr:rowOff>7620</xdr:rowOff>
    </xdr:from>
    <xdr:to>
      <xdr:col>2</xdr:col>
      <xdr:colOff>371475</xdr:colOff>
      <xdr:row>11</xdr:row>
      <xdr:rowOff>55245</xdr:rowOff>
    </xdr:to>
    <xdr:sp macro="" textlink="">
      <xdr:nvSpPr>
        <xdr:cNvPr id="11" name="Retângulo de cantos arredondados 3">
          <a:hlinkClick xmlns:r="http://schemas.openxmlformats.org/officeDocument/2006/relationships" r:id="rId6"/>
          <a:extLst>
            <a:ext uri="{FF2B5EF4-FFF2-40B4-BE49-F238E27FC236}">
              <a16:creationId xmlns:a16="http://schemas.microsoft.com/office/drawing/2014/main" id="{D311BE82-C7A2-4AB5-BD9E-FD5E48678FCE}"/>
            </a:ext>
          </a:extLst>
        </xdr:cNvPr>
        <xdr:cNvSpPr/>
      </xdr:nvSpPr>
      <xdr:spPr>
        <a:xfrm>
          <a:off x="0" y="1626870"/>
          <a:ext cx="2390775"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A - Distribuição dos Postos (informativo)</a:t>
          </a:r>
          <a:endParaRPr lang="pt-PT" sz="1200" b="1">
            <a:latin typeface="Calibri" panose="020F0502020204030204" pitchFamily="34" charset="0"/>
            <a:cs typeface="Arial" panose="020B0604020202020204" pitchFamily="7" charset="0"/>
          </a:endParaRPr>
        </a:p>
      </xdr:txBody>
    </xdr:sp>
    <xdr:clientData/>
  </xdr:twoCellAnchor>
  <xdr:twoCellAnchor>
    <xdr:from>
      <xdr:col>2</xdr:col>
      <xdr:colOff>752475</xdr:colOff>
      <xdr:row>6</xdr:row>
      <xdr:rowOff>161925</xdr:rowOff>
    </xdr:from>
    <xdr:to>
      <xdr:col>4</xdr:col>
      <xdr:colOff>723900</xdr:colOff>
      <xdr:row>11</xdr:row>
      <xdr:rowOff>19050</xdr:rowOff>
    </xdr:to>
    <xdr:sp macro="" textlink="">
      <xdr:nvSpPr>
        <xdr:cNvPr id="12" name="Retângulo de cantos arredondados 3">
          <a:hlinkClick xmlns:r="http://schemas.openxmlformats.org/officeDocument/2006/relationships" r:id="rId7"/>
          <a:extLst>
            <a:ext uri="{FF2B5EF4-FFF2-40B4-BE49-F238E27FC236}">
              <a16:creationId xmlns:a16="http://schemas.microsoft.com/office/drawing/2014/main" id="{CAB24B1F-DE3A-4B59-8A17-94D6261E5DE1}"/>
            </a:ext>
          </a:extLst>
        </xdr:cNvPr>
        <xdr:cNvSpPr/>
      </xdr:nvSpPr>
      <xdr:spPr>
        <a:xfrm>
          <a:off x="2771775" y="1590675"/>
          <a:ext cx="2390775"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B - Endereço das Unidades (informativo)</a:t>
          </a:r>
          <a:endParaRPr lang="pt-PT" sz="1200" b="1">
            <a:latin typeface="Calibri" panose="020F0502020204030204" pitchFamily="34" charset="0"/>
            <a:cs typeface="Arial" panose="020B0604020202020204" pitchFamily="7" charset="0"/>
          </a:endParaRPr>
        </a:p>
      </xdr:txBody>
    </xdr:sp>
    <xdr:clientData/>
  </xdr:twoCellAnchor>
  <xdr:twoCellAnchor>
    <xdr:from>
      <xdr:col>2</xdr:col>
      <xdr:colOff>762000</xdr:colOff>
      <xdr:row>18</xdr:row>
      <xdr:rowOff>85725</xdr:rowOff>
    </xdr:from>
    <xdr:to>
      <xdr:col>4</xdr:col>
      <xdr:colOff>723900</xdr:colOff>
      <xdr:row>22</xdr:row>
      <xdr:rowOff>133350</xdr:rowOff>
    </xdr:to>
    <xdr:sp macro="" textlink="">
      <xdr:nvSpPr>
        <xdr:cNvPr id="13" name="Retângulo de cantos arredondados 3">
          <a:hlinkClick xmlns:r="http://schemas.openxmlformats.org/officeDocument/2006/relationships" r:id="rId8"/>
          <a:extLst>
            <a:ext uri="{FF2B5EF4-FFF2-40B4-BE49-F238E27FC236}">
              <a16:creationId xmlns:a16="http://schemas.microsoft.com/office/drawing/2014/main" id="{D88B7ABD-96A1-48FA-961E-8731B59EFA45}"/>
            </a:ext>
          </a:extLst>
        </xdr:cNvPr>
        <xdr:cNvSpPr/>
      </xdr:nvSpPr>
      <xdr:spPr>
        <a:xfrm>
          <a:off x="2781300" y="3810000"/>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B - Composição custos BDI Serviços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2</xdr:col>
      <xdr:colOff>762000</xdr:colOff>
      <xdr:row>12</xdr:row>
      <xdr:rowOff>161925</xdr:rowOff>
    </xdr:from>
    <xdr:to>
      <xdr:col>4</xdr:col>
      <xdr:colOff>733425</xdr:colOff>
      <xdr:row>17</xdr:row>
      <xdr:rowOff>3810</xdr:rowOff>
    </xdr:to>
    <xdr:sp macro="" textlink="">
      <xdr:nvSpPr>
        <xdr:cNvPr id="3" name="Retângulo de cantos arredondados 3">
          <a:hlinkClick xmlns:r="http://schemas.openxmlformats.org/officeDocument/2006/relationships" r:id="rId9"/>
          <a:extLst>
            <a:ext uri="{FF2B5EF4-FFF2-40B4-BE49-F238E27FC236}">
              <a16:creationId xmlns:a16="http://schemas.microsoft.com/office/drawing/2014/main" id="{BFB2DAFC-EADD-4DE7-ACFC-6C7639A5A148}"/>
            </a:ext>
          </a:extLst>
        </xdr:cNvPr>
        <xdr:cNvSpPr/>
      </xdr:nvSpPr>
      <xdr:spPr>
        <a:xfrm>
          <a:off x="2781300" y="2733675"/>
          <a:ext cx="2390775" cy="803910"/>
        </a:xfrm>
        <a:prstGeom prst="roundRect">
          <a:avLst>
            <a:gd name="adj" fmla="val 4819"/>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IIE - Distribuição dos Equipamentos (Informativo)</a:t>
          </a:r>
          <a:endParaRPr lang="pt-PT" sz="1200" b="1">
            <a:latin typeface="Calibri" panose="020F0502020204030204" pitchFamily="34" charset="0"/>
            <a:cs typeface="Arial" panose="020B0604020202020204" pitchFamily="7" charset="0"/>
          </a:endParaRPr>
        </a:p>
      </xdr:txBody>
    </xdr:sp>
    <xdr:clientData/>
  </xdr:twoCellAnchor>
  <xdr:twoCellAnchor>
    <xdr:from>
      <xdr:col>5</xdr:col>
      <xdr:colOff>200025</xdr:colOff>
      <xdr:row>18</xdr:row>
      <xdr:rowOff>47625</xdr:rowOff>
    </xdr:from>
    <xdr:to>
      <xdr:col>9</xdr:col>
      <xdr:colOff>114300</xdr:colOff>
      <xdr:row>22</xdr:row>
      <xdr:rowOff>95250</xdr:rowOff>
    </xdr:to>
    <xdr:sp macro="" textlink="">
      <xdr:nvSpPr>
        <xdr:cNvPr id="4" name="Retângulo de cantos arredondados 3">
          <a:hlinkClick xmlns:r="http://schemas.openxmlformats.org/officeDocument/2006/relationships" r:id="rId10"/>
          <a:extLst>
            <a:ext uri="{FF2B5EF4-FFF2-40B4-BE49-F238E27FC236}">
              <a16:creationId xmlns:a16="http://schemas.microsoft.com/office/drawing/2014/main" id="{976E91F6-C261-47ED-B0DD-1C44A03F6012}"/>
            </a:ext>
          </a:extLst>
        </xdr:cNvPr>
        <xdr:cNvSpPr/>
      </xdr:nvSpPr>
      <xdr:spPr>
        <a:xfrm>
          <a:off x="5457825" y="3771900"/>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C - Composição custos BDI Material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2</xdr:col>
      <xdr:colOff>781050</xdr:colOff>
      <xdr:row>23</xdr:row>
      <xdr:rowOff>180975</xdr:rowOff>
    </xdr:from>
    <xdr:to>
      <xdr:col>4</xdr:col>
      <xdr:colOff>742950</xdr:colOff>
      <xdr:row>28</xdr:row>
      <xdr:rowOff>38100</xdr:rowOff>
    </xdr:to>
    <xdr:sp macro="" textlink="">
      <xdr:nvSpPr>
        <xdr:cNvPr id="8" name="Retângulo de cantos arredondados 3">
          <a:hlinkClick xmlns:r="http://schemas.openxmlformats.org/officeDocument/2006/relationships" r:id="rId11"/>
          <a:extLst>
            <a:ext uri="{FF2B5EF4-FFF2-40B4-BE49-F238E27FC236}">
              <a16:creationId xmlns:a16="http://schemas.microsoft.com/office/drawing/2014/main" id="{E6A02105-959C-4FB3-9D05-0BF79CC37D8C}"/>
            </a:ext>
          </a:extLst>
        </xdr:cNvPr>
        <xdr:cNvSpPr/>
      </xdr:nvSpPr>
      <xdr:spPr>
        <a:xfrm>
          <a:off x="2800350" y="4857750"/>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E - Composição custos final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38100</xdr:colOff>
      <xdr:row>23</xdr:row>
      <xdr:rowOff>152400</xdr:rowOff>
    </xdr:from>
    <xdr:to>
      <xdr:col>2</xdr:col>
      <xdr:colOff>400050</xdr:colOff>
      <xdr:row>28</xdr:row>
      <xdr:rowOff>9525</xdr:rowOff>
    </xdr:to>
    <xdr:sp macro="" textlink="">
      <xdr:nvSpPr>
        <xdr:cNvPr id="9" name="Retângulo de cantos arredondados 3">
          <a:hlinkClick xmlns:r="http://schemas.openxmlformats.org/officeDocument/2006/relationships" r:id="rId12"/>
          <a:extLst>
            <a:ext uri="{FF2B5EF4-FFF2-40B4-BE49-F238E27FC236}">
              <a16:creationId xmlns:a16="http://schemas.microsoft.com/office/drawing/2014/main" id="{A83381E0-A83A-4FC5-A1B6-238FF0068D93}"/>
            </a:ext>
          </a:extLst>
        </xdr:cNvPr>
        <xdr:cNvSpPr/>
      </xdr:nvSpPr>
      <xdr:spPr>
        <a:xfrm>
          <a:off x="38100" y="4829175"/>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D - Composição custos serviços eventuais (preenchimento licitante)</a:t>
          </a:r>
          <a:endParaRPr lang="pt-PT" sz="1200" b="1">
            <a:latin typeface="Calibri" panose="020F0502020204030204" pitchFamily="34" charset="0"/>
            <a:cs typeface="Arial" panose="020B0604020202020204" pitchFamily="7"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4187190</xdr:colOff>
      <xdr:row>0</xdr:row>
      <xdr:rowOff>0</xdr:rowOff>
    </xdr:from>
    <xdr:to>
      <xdr:col>3</xdr:col>
      <xdr:colOff>828675</xdr:colOff>
      <xdr:row>2</xdr:row>
      <xdr:rowOff>180910</xdr:rowOff>
    </xdr:to>
    <xdr:pic>
      <xdr:nvPicPr>
        <xdr:cNvPr id="2" name="Imagem 1">
          <a:hlinkClick xmlns:r="http://schemas.openxmlformats.org/officeDocument/2006/relationships" r:id="rId1"/>
          <a:extLst>
            <a:ext uri="{FF2B5EF4-FFF2-40B4-BE49-F238E27FC236}">
              <a16:creationId xmlns:a16="http://schemas.microsoft.com/office/drawing/2014/main" id="{EF3A5C0E-C696-4E26-85AB-5001B50B5E52}"/>
            </a:ext>
          </a:extLst>
        </xdr:cNvPr>
        <xdr:cNvPicPr>
          <a:picLocks noChangeAspect="1"/>
        </xdr:cNvPicPr>
      </xdr:nvPicPr>
      <xdr:blipFill>
        <a:blip xmlns:r="http://schemas.openxmlformats.org/officeDocument/2006/relationships" r:embed="rId2"/>
        <a:stretch>
          <a:fillRect/>
        </a:stretch>
      </xdr:blipFill>
      <xdr:spPr>
        <a:xfrm>
          <a:off x="6273165" y="0"/>
          <a:ext cx="908685" cy="60001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672465</xdr:colOff>
      <xdr:row>0</xdr:row>
      <xdr:rowOff>66675</xdr:rowOff>
    </xdr:from>
    <xdr:to>
      <xdr:col>8</xdr:col>
      <xdr:colOff>666750</xdr:colOff>
      <xdr:row>3</xdr:row>
      <xdr:rowOff>9460</xdr:rowOff>
    </xdr:to>
    <xdr:pic>
      <xdr:nvPicPr>
        <xdr:cNvPr id="2" name="Imagem 1">
          <a:hlinkClick xmlns:r="http://schemas.openxmlformats.org/officeDocument/2006/relationships" r:id="rId1"/>
          <a:extLst>
            <a:ext uri="{FF2B5EF4-FFF2-40B4-BE49-F238E27FC236}">
              <a16:creationId xmlns:a16="http://schemas.microsoft.com/office/drawing/2014/main" id="{80EB0A43-4A62-4F43-A0B9-89B77859D635}"/>
            </a:ext>
          </a:extLst>
        </xdr:cNvPr>
        <xdr:cNvPicPr>
          <a:picLocks noChangeAspect="1"/>
        </xdr:cNvPicPr>
      </xdr:nvPicPr>
      <xdr:blipFill>
        <a:blip xmlns:r="http://schemas.openxmlformats.org/officeDocument/2006/relationships" r:embed="rId2"/>
        <a:stretch>
          <a:fillRect/>
        </a:stretch>
      </xdr:blipFill>
      <xdr:spPr>
        <a:xfrm>
          <a:off x="7530465" y="66675"/>
          <a:ext cx="908685" cy="60001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962025</xdr:colOff>
      <xdr:row>0</xdr:row>
      <xdr:rowOff>0</xdr:rowOff>
    </xdr:from>
    <xdr:to>
      <xdr:col>6</xdr:col>
      <xdr:colOff>889635</xdr:colOff>
      <xdr:row>2</xdr:row>
      <xdr:rowOff>180910</xdr:rowOff>
    </xdr:to>
    <xdr:pic>
      <xdr:nvPicPr>
        <xdr:cNvPr id="2" name="Imagem 1">
          <a:hlinkClick xmlns:r="http://schemas.openxmlformats.org/officeDocument/2006/relationships" r:id="rId1"/>
          <a:extLst>
            <a:ext uri="{FF2B5EF4-FFF2-40B4-BE49-F238E27FC236}">
              <a16:creationId xmlns:a16="http://schemas.microsoft.com/office/drawing/2014/main" id="{BD41432D-6B96-4843-8A2A-9715C6420A4A}"/>
            </a:ext>
          </a:extLst>
        </xdr:cNvPr>
        <xdr:cNvPicPr>
          <a:picLocks noChangeAspect="1"/>
        </xdr:cNvPicPr>
      </xdr:nvPicPr>
      <xdr:blipFill>
        <a:blip xmlns:r="http://schemas.openxmlformats.org/officeDocument/2006/relationships" r:embed="rId2"/>
        <a:stretch>
          <a:fillRect/>
        </a:stretch>
      </xdr:blipFill>
      <xdr:spPr>
        <a:xfrm>
          <a:off x="5210175" y="0"/>
          <a:ext cx="908685" cy="600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324907</xdr:colOff>
      <xdr:row>0</xdr:row>
      <xdr:rowOff>0</xdr:rowOff>
    </xdr:from>
    <xdr:ext cx="837143" cy="537016"/>
    <xdr:pic>
      <xdr:nvPicPr>
        <xdr:cNvPr id="3" name="Imagem 2">
          <a:hlinkClick xmlns:r="http://schemas.openxmlformats.org/officeDocument/2006/relationships" r:id="rId1"/>
          <a:extLst>
            <a:ext uri="{FF2B5EF4-FFF2-40B4-BE49-F238E27FC236}">
              <a16:creationId xmlns:a16="http://schemas.microsoft.com/office/drawing/2014/main" id="{59676723-5A7E-410B-9B56-B6EBCDF3E5E2}"/>
            </a:ext>
          </a:extLst>
        </xdr:cNvPr>
        <xdr:cNvPicPr>
          <a:picLocks noChangeAspect="1"/>
        </xdr:cNvPicPr>
      </xdr:nvPicPr>
      <xdr:blipFill>
        <a:blip xmlns:r="http://schemas.openxmlformats.org/officeDocument/2006/relationships" r:embed="rId2"/>
        <a:stretch>
          <a:fillRect/>
        </a:stretch>
      </xdr:blipFill>
      <xdr:spPr>
        <a:xfrm>
          <a:off x="6268507" y="0"/>
          <a:ext cx="837143" cy="53701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1915582</xdr:colOff>
      <xdr:row>0</xdr:row>
      <xdr:rowOff>38100</xdr:rowOff>
    </xdr:from>
    <xdr:to>
      <xdr:col>2</xdr:col>
      <xdr:colOff>3066726</xdr:colOff>
      <xdr:row>3</xdr:row>
      <xdr:rowOff>109793</xdr:rowOff>
    </xdr:to>
    <xdr:pic>
      <xdr:nvPicPr>
        <xdr:cNvPr id="2" name="Imagem 1">
          <a:hlinkClick xmlns:r="http://schemas.openxmlformats.org/officeDocument/2006/relationships" r:id="rId1"/>
          <a:extLst>
            <a:ext uri="{FF2B5EF4-FFF2-40B4-BE49-F238E27FC236}">
              <a16:creationId xmlns:a16="http://schemas.microsoft.com/office/drawing/2014/main" id="{012F0F9E-3E78-48E3-9AA0-E762E8EBCA2A}"/>
            </a:ext>
          </a:extLst>
        </xdr:cNvPr>
        <xdr:cNvPicPr>
          <a:picLocks noChangeAspect="1"/>
        </xdr:cNvPicPr>
      </xdr:nvPicPr>
      <xdr:blipFill>
        <a:blip xmlns:r="http://schemas.openxmlformats.org/officeDocument/2006/relationships" r:embed="rId2"/>
        <a:stretch>
          <a:fillRect/>
        </a:stretch>
      </xdr:blipFill>
      <xdr:spPr>
        <a:xfrm>
          <a:off x="4906432" y="38100"/>
          <a:ext cx="1151144" cy="7384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396240</xdr:colOff>
      <xdr:row>0</xdr:row>
      <xdr:rowOff>47625</xdr:rowOff>
    </xdr:from>
    <xdr:to>
      <xdr:col>6</xdr:col>
      <xdr:colOff>562710</xdr:colOff>
      <xdr:row>3</xdr:row>
      <xdr:rowOff>176468</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6482715" y="47625"/>
          <a:ext cx="1109445" cy="747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557106</xdr:colOff>
      <xdr:row>0</xdr:row>
      <xdr:rowOff>0</xdr:rowOff>
    </xdr:from>
    <xdr:to>
      <xdr:col>4</xdr:col>
      <xdr:colOff>659017</xdr:colOff>
      <xdr:row>3</xdr:row>
      <xdr:rowOff>123551</xdr:rowOff>
    </xdr:to>
    <xdr:pic>
      <xdr:nvPicPr>
        <xdr:cNvPr id="2" name="Imagem 1">
          <a:hlinkClick xmlns:r="http://schemas.openxmlformats.org/officeDocument/2006/relationships" r:id="rId1"/>
          <a:extLst>
            <a:ext uri="{FF2B5EF4-FFF2-40B4-BE49-F238E27FC236}">
              <a16:creationId xmlns:a16="http://schemas.microsoft.com/office/drawing/2014/main" id="{7B95945F-BCBA-468C-9147-ADC5FC04D80E}"/>
            </a:ext>
          </a:extLst>
        </xdr:cNvPr>
        <xdr:cNvPicPr>
          <a:picLocks noChangeAspect="1"/>
        </xdr:cNvPicPr>
      </xdr:nvPicPr>
      <xdr:blipFill>
        <a:blip xmlns:r="http://schemas.openxmlformats.org/officeDocument/2006/relationships" r:embed="rId2"/>
        <a:stretch>
          <a:fillRect/>
        </a:stretch>
      </xdr:blipFill>
      <xdr:spPr>
        <a:xfrm>
          <a:off x="6653106" y="0"/>
          <a:ext cx="1107328" cy="7585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515407</xdr:colOff>
      <xdr:row>0</xdr:row>
      <xdr:rowOff>19050</xdr:rowOff>
    </xdr:from>
    <xdr:to>
      <xdr:col>7</xdr:col>
      <xdr:colOff>590550</xdr:colOff>
      <xdr:row>2</xdr:row>
      <xdr:rowOff>37045</xdr:rowOff>
    </xdr:to>
    <xdr:pic>
      <xdr:nvPicPr>
        <xdr:cNvPr id="2" name="Imagem 1">
          <a:hlinkClick xmlns:r="http://schemas.openxmlformats.org/officeDocument/2006/relationships" r:id="rId1"/>
          <a:extLst>
            <a:ext uri="{FF2B5EF4-FFF2-40B4-BE49-F238E27FC236}">
              <a16:creationId xmlns:a16="http://schemas.microsoft.com/office/drawing/2014/main" id="{B302037B-1F01-4ED1-9B8D-A9D3D5A3A4F4}"/>
            </a:ext>
          </a:extLst>
        </xdr:cNvPr>
        <xdr:cNvPicPr>
          <a:picLocks noChangeAspect="1"/>
        </xdr:cNvPicPr>
      </xdr:nvPicPr>
      <xdr:blipFill>
        <a:blip xmlns:r="http://schemas.openxmlformats.org/officeDocument/2006/relationships" r:embed="rId2"/>
        <a:stretch>
          <a:fillRect/>
        </a:stretch>
      </xdr:blipFill>
      <xdr:spPr>
        <a:xfrm>
          <a:off x="4773082" y="19050"/>
          <a:ext cx="770468" cy="4942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1122045</xdr:colOff>
      <xdr:row>0</xdr:row>
      <xdr:rowOff>0</xdr:rowOff>
    </xdr:from>
    <xdr:to>
      <xdr:col>5</xdr:col>
      <xdr:colOff>1002765</xdr:colOff>
      <xdr:row>3</xdr:row>
      <xdr:rowOff>157418</xdr:rowOff>
    </xdr:to>
    <xdr:pic>
      <xdr:nvPicPr>
        <xdr:cNvPr id="3" name="Imagem 2">
          <a:hlinkClick xmlns:r="http://schemas.openxmlformats.org/officeDocument/2006/relationships" r:id="rId1"/>
          <a:extLst>
            <a:ext uri="{FF2B5EF4-FFF2-40B4-BE49-F238E27FC236}">
              <a16:creationId xmlns:a16="http://schemas.microsoft.com/office/drawing/2014/main" id="{0E5CC2C7-D3C6-49CE-B46A-B2154161893D}"/>
            </a:ext>
          </a:extLst>
        </xdr:cNvPr>
        <xdr:cNvPicPr>
          <a:picLocks noChangeAspect="1"/>
        </xdr:cNvPicPr>
      </xdr:nvPicPr>
      <xdr:blipFill>
        <a:blip xmlns:r="http://schemas.openxmlformats.org/officeDocument/2006/relationships" r:embed="rId2"/>
        <a:stretch>
          <a:fillRect/>
        </a:stretch>
      </xdr:blipFill>
      <xdr:spPr>
        <a:xfrm>
          <a:off x="8894445" y="0"/>
          <a:ext cx="1109445" cy="8146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100965</xdr:colOff>
      <xdr:row>0</xdr:row>
      <xdr:rowOff>0</xdr:rowOff>
    </xdr:from>
    <xdr:to>
      <xdr:col>6</xdr:col>
      <xdr:colOff>1009650</xdr:colOff>
      <xdr:row>2</xdr:row>
      <xdr:rowOff>180910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6882765" y="0"/>
          <a:ext cx="908685" cy="60001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4187190</xdr:colOff>
      <xdr:row>0</xdr:row>
      <xdr:rowOff>0</xdr:rowOff>
    </xdr:from>
    <xdr:to>
      <xdr:col>3</xdr:col>
      <xdr:colOff>828675</xdr:colOff>
      <xdr:row>2</xdr:row>
      <xdr:rowOff>180910</xdr:rowOff>
    </xdr:to>
    <xdr:pic>
      <xdr:nvPicPr>
        <xdr:cNvPr id="2" name="Imagem 1">
          <a:hlinkClick xmlns:r="http://schemas.openxmlformats.org/officeDocument/2006/relationships" r:id="rId1"/>
          <a:extLst>
            <a:ext uri="{FF2B5EF4-FFF2-40B4-BE49-F238E27FC236}">
              <a16:creationId xmlns:a16="http://schemas.microsoft.com/office/drawing/2014/main" id="{D691FA55-0AF4-44EA-911F-CEF766CCB56C}"/>
            </a:ext>
          </a:extLst>
        </xdr:cNvPr>
        <xdr:cNvPicPr>
          <a:picLocks noChangeAspect="1"/>
        </xdr:cNvPicPr>
      </xdr:nvPicPr>
      <xdr:blipFill>
        <a:blip xmlns:r="http://schemas.openxmlformats.org/officeDocument/2006/relationships" r:embed="rId2"/>
        <a:stretch>
          <a:fillRect/>
        </a:stretch>
      </xdr:blipFill>
      <xdr:spPr>
        <a:xfrm>
          <a:off x="6273165" y="0"/>
          <a:ext cx="908685" cy="60001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omments" Target="../comments1.xml"/><Relationship Id="rId4" Type="http://schemas.openxmlformats.org/officeDocument/2006/relationships/vmlDrawing" Target="../drawings/vmlDrawing12.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
  <sheetViews>
    <sheetView topLeftCell="A19" zoomScaleNormal="100" workbookViewId="0">
      <selection sqref="A1:J1"/>
    </sheetView>
  </sheetViews>
  <sheetFormatPr defaultColWidth="8.88671875" defaultRowHeight="14.4"/>
  <cols>
    <col min="2" max="2" width="21.44140625" customWidth="1"/>
    <col min="3" max="3" width="17.33203125" customWidth="1"/>
    <col min="4" max="4" width="19" customWidth="1"/>
    <col min="5" max="5" width="12.33203125" customWidth="1"/>
    <col min="6" max="6" width="8.44140625" customWidth="1"/>
    <col min="7" max="7" width="10.88671875" customWidth="1"/>
  </cols>
  <sheetData>
    <row r="1" spans="1:14" ht="18" customHeight="1">
      <c r="A1" s="270" t="s">
        <v>0</v>
      </c>
      <c r="B1" s="270"/>
      <c r="C1" s="270"/>
      <c r="D1" s="270"/>
      <c r="E1" s="270"/>
      <c r="F1" s="270"/>
      <c r="G1" s="270"/>
      <c r="H1" s="270"/>
      <c r="I1" s="270"/>
      <c r="J1" s="270"/>
      <c r="K1" s="5"/>
      <c r="L1" s="5"/>
      <c r="M1" s="5"/>
      <c r="N1" s="5"/>
    </row>
    <row r="2" spans="1:14" ht="18">
      <c r="A2" s="271" t="s">
        <v>1</v>
      </c>
      <c r="B2" s="271"/>
      <c r="C2" s="271"/>
      <c r="D2" s="271"/>
      <c r="E2" s="271"/>
      <c r="F2" s="271"/>
      <c r="G2" s="271"/>
      <c r="H2" s="271"/>
      <c r="I2" s="271"/>
      <c r="J2" s="271"/>
      <c r="K2" s="6"/>
      <c r="L2" s="6"/>
      <c r="M2" s="6"/>
      <c r="N2" s="6"/>
    </row>
    <row r="4" spans="1:14" ht="14.4" customHeight="1">
      <c r="A4" s="267"/>
      <c r="B4" s="267"/>
      <c r="C4" s="267"/>
      <c r="D4" s="267"/>
      <c r="E4" s="267"/>
      <c r="F4" s="267"/>
      <c r="G4" s="267"/>
      <c r="H4" s="3"/>
    </row>
    <row r="5" spans="1:14" ht="31.95" customHeight="1">
      <c r="A5" s="268" t="s">
        <v>223</v>
      </c>
      <c r="B5" s="269"/>
      <c r="C5" s="269"/>
      <c r="D5" s="269"/>
      <c r="E5" s="269"/>
      <c r="F5" s="269"/>
      <c r="G5" s="269"/>
      <c r="H5" s="269"/>
      <c r="I5" s="269"/>
      <c r="J5" s="269"/>
      <c r="K5" s="8"/>
      <c r="L5" s="8"/>
      <c r="M5" s="8"/>
      <c r="N5" s="8"/>
    </row>
    <row r="16" spans="1:14" ht="15.6">
      <c r="E16" s="12" t="s">
        <v>2</v>
      </c>
    </row>
  </sheetData>
  <mergeCells count="4">
    <mergeCell ref="A4:G4"/>
    <mergeCell ref="A5:J5"/>
    <mergeCell ref="A1:J1"/>
    <mergeCell ref="A2:J2"/>
  </mergeCells>
  <pageMargins left="0.511811024" right="0.511811024" top="0.78740157499999996" bottom="0.78740157499999996" header="0.31496062000000002" footer="0.31496062000000002"/>
  <pageSetup paperSize="9" scale="83" orientation="landscape" r:id="rId1"/>
  <headerFooter>
    <oddHeader>&amp;L&amp;G&amp;CProcesso 23069.152417/2023-62
PE 25/2023&amp;R&amp;G</oddHeader>
    <oddFooter>&amp;L&amp;"-,Itálico"&amp;9&amp;A&amp;R&amp;"-,Itálico"&amp;9Página &amp;P de &amp;N</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26181-C90D-4F00-8574-94CAE73FD2E8}">
  <dimension ref="A1:H47"/>
  <sheetViews>
    <sheetView topLeftCell="A16" zoomScaleNormal="100" workbookViewId="0">
      <selection activeCell="A5" sqref="A5:G5"/>
    </sheetView>
  </sheetViews>
  <sheetFormatPr defaultColWidth="9" defaultRowHeight="14.4"/>
  <cols>
    <col min="1" max="1" width="10.88671875" customWidth="1"/>
    <col min="2" max="2" width="20.44140625" customWidth="1"/>
    <col min="3" max="3" width="64" customWidth="1"/>
    <col min="4" max="4" width="15.33203125" customWidth="1"/>
    <col min="5" max="5" width="16.33203125" customWidth="1"/>
    <col min="6" max="6" width="14.5546875" bestFit="1" customWidth="1"/>
    <col min="7" max="7" width="15.33203125" bestFit="1" customWidth="1"/>
    <col min="8" max="8" width="13.6640625" customWidth="1"/>
  </cols>
  <sheetData>
    <row r="1" spans="1:8" ht="14.4" customHeight="1">
      <c r="A1" s="276" t="s">
        <v>0</v>
      </c>
      <c r="B1" s="276"/>
      <c r="C1" s="276"/>
      <c r="D1" s="276"/>
      <c r="E1" s="5"/>
      <c r="F1" s="5"/>
      <c r="G1" s="5"/>
      <c r="H1" s="5"/>
    </row>
    <row r="2" spans="1:8" ht="18">
      <c r="A2" s="271" t="s">
        <v>1</v>
      </c>
      <c r="B2" s="271"/>
      <c r="C2" s="271"/>
      <c r="D2" s="271"/>
      <c r="E2" s="6"/>
      <c r="F2" s="6"/>
      <c r="G2" s="6"/>
      <c r="H2" s="6"/>
    </row>
    <row r="3" spans="1:8" ht="18">
      <c r="A3" s="1"/>
      <c r="B3" s="1"/>
      <c r="C3" s="1"/>
      <c r="D3" s="1"/>
      <c r="E3" s="1"/>
      <c r="F3" s="1"/>
      <c r="G3" s="1"/>
      <c r="H3" s="1"/>
    </row>
    <row r="4" spans="1:8" ht="32.25" customHeight="1">
      <c r="A4" s="390" t="s">
        <v>417</v>
      </c>
      <c r="B4" s="390"/>
      <c r="C4" s="390"/>
      <c r="D4" s="390"/>
      <c r="E4" s="245"/>
      <c r="F4" s="245"/>
      <c r="G4" s="245"/>
      <c r="H4" s="3"/>
    </row>
    <row r="5" spans="1:8" ht="35.4" customHeight="1">
      <c r="A5" s="391" t="s">
        <v>223</v>
      </c>
      <c r="B5" s="391"/>
      <c r="C5" s="391"/>
      <c r="D5" s="391"/>
      <c r="E5" s="4"/>
      <c r="F5" s="4"/>
      <c r="G5" s="4"/>
      <c r="H5" s="4"/>
    </row>
    <row r="6" spans="1:8" ht="15" thickBot="1"/>
    <row r="7" spans="1:8" ht="15" thickTop="1">
      <c r="A7" s="220" t="s">
        <v>4</v>
      </c>
      <c r="B7" s="415" t="s">
        <v>184</v>
      </c>
      <c r="C7" s="415"/>
      <c r="D7" s="221" t="s">
        <v>377</v>
      </c>
    </row>
    <row r="8" spans="1:8">
      <c r="A8" s="222">
        <v>1</v>
      </c>
      <c r="B8" s="403" t="s">
        <v>378</v>
      </c>
      <c r="C8" s="403"/>
      <c r="D8" s="224">
        <v>3.4500000000000003E-2</v>
      </c>
    </row>
    <row r="9" spans="1:8">
      <c r="A9" s="222">
        <v>2</v>
      </c>
      <c r="B9" s="416" t="s">
        <v>379</v>
      </c>
      <c r="C9" s="417"/>
      <c r="D9" s="224">
        <v>4.7999999999999996E-3</v>
      </c>
    </row>
    <row r="10" spans="1:8">
      <c r="A10" s="222">
        <v>3</v>
      </c>
      <c r="B10" s="403" t="s">
        <v>380</v>
      </c>
      <c r="C10" s="403"/>
      <c r="D10" s="224">
        <v>8.5000000000000006E-3</v>
      </c>
    </row>
    <row r="11" spans="1:8">
      <c r="A11" s="222">
        <v>4</v>
      </c>
      <c r="B11" s="403" t="s">
        <v>381</v>
      </c>
      <c r="C11" s="403"/>
      <c r="D11" s="224">
        <v>0</v>
      </c>
    </row>
    <row r="12" spans="1:8">
      <c r="A12" s="222">
        <v>5</v>
      </c>
      <c r="B12" s="404" t="s">
        <v>382</v>
      </c>
      <c r="C12" s="405"/>
      <c r="D12" s="224">
        <f>SUM(D8:D11)</f>
        <v>4.7800000000000002E-2</v>
      </c>
    </row>
    <row r="13" spans="1:8">
      <c r="A13" s="222">
        <v>6</v>
      </c>
      <c r="B13" s="403" t="s">
        <v>383</v>
      </c>
      <c r="C13" s="403"/>
      <c r="D13" s="224">
        <v>8.5000000000000006E-3</v>
      </c>
    </row>
    <row r="14" spans="1:8">
      <c r="A14" s="222">
        <v>7</v>
      </c>
      <c r="B14" s="11" t="s">
        <v>384</v>
      </c>
      <c r="C14" s="11"/>
      <c r="D14" s="224">
        <v>5.11E-2</v>
      </c>
    </row>
    <row r="15" spans="1:8">
      <c r="A15" s="222">
        <v>8</v>
      </c>
      <c r="B15" s="403" t="s">
        <v>381</v>
      </c>
      <c r="C15" s="403"/>
      <c r="D15" s="224">
        <v>0</v>
      </c>
    </row>
    <row r="16" spans="1:8">
      <c r="A16" s="225">
        <v>9</v>
      </c>
      <c r="B16" s="404" t="s">
        <v>385</v>
      </c>
      <c r="C16" s="405"/>
      <c r="D16" s="224">
        <f>(D13+1)*(1+D14)*(1+D15)-1</f>
        <v>6.0034349999999792E-2</v>
      </c>
    </row>
    <row r="17" spans="1:4">
      <c r="A17" s="406" t="s">
        <v>386</v>
      </c>
      <c r="B17" s="407"/>
      <c r="C17" s="408"/>
      <c r="D17" s="226">
        <f>((1+D16)*(1+D12))-1</f>
        <v>0.11070399192999991</v>
      </c>
    </row>
    <row r="18" spans="1:4">
      <c r="A18" s="409">
        <v>10</v>
      </c>
      <c r="B18" s="412" t="s">
        <v>387</v>
      </c>
      <c r="C18" s="223" t="s">
        <v>388</v>
      </c>
      <c r="D18" s="224">
        <v>0.03</v>
      </c>
    </row>
    <row r="19" spans="1:4">
      <c r="A19" s="410"/>
      <c r="B19" s="413"/>
      <c r="C19" s="223" t="s">
        <v>389</v>
      </c>
      <c r="D19" s="224">
        <v>6.4999999999999997E-3</v>
      </c>
    </row>
    <row r="20" spans="1:4">
      <c r="A20" s="410"/>
      <c r="B20" s="413"/>
      <c r="C20" s="227" t="s">
        <v>390</v>
      </c>
      <c r="D20" s="224"/>
    </row>
    <row r="21" spans="1:4">
      <c r="A21" s="410"/>
      <c r="B21" s="413"/>
      <c r="C21" s="228" t="s">
        <v>391</v>
      </c>
      <c r="D21" s="229">
        <f>SUM(D18:D20)</f>
        <v>3.6499999999999998E-2</v>
      </c>
    </row>
    <row r="22" spans="1:4">
      <c r="A22" s="410"/>
      <c r="B22" s="413"/>
      <c r="C22" s="230" t="s">
        <v>392</v>
      </c>
      <c r="D22" s="224">
        <v>0</v>
      </c>
    </row>
    <row r="23" spans="1:4">
      <c r="A23" s="411"/>
      <c r="B23" s="414"/>
      <c r="C23" s="228" t="s">
        <v>393</v>
      </c>
      <c r="D23" s="229">
        <f>D21+D22</f>
        <v>3.6499999999999998E-2</v>
      </c>
    </row>
    <row r="24" spans="1:4" ht="15" thickBot="1">
      <c r="A24" s="397" t="s">
        <v>394</v>
      </c>
      <c r="B24" s="398"/>
      <c r="C24" s="398"/>
      <c r="D24" s="231">
        <f>((D$17+1)/(1-D23))-1</f>
        <v>0.15278047942916428</v>
      </c>
    </row>
    <row r="25" spans="1:4" ht="15" thickTop="1">
      <c r="A25" s="399" t="s">
        <v>395</v>
      </c>
      <c r="B25" s="399"/>
      <c r="C25" s="399"/>
      <c r="D25" s="399"/>
    </row>
    <row r="26" spans="1:4">
      <c r="A26" s="400" t="s">
        <v>396</v>
      </c>
      <c r="B26" s="400"/>
      <c r="C26" s="400"/>
      <c r="D26" s="400" t="s">
        <v>397</v>
      </c>
    </row>
    <row r="27" spans="1:4">
      <c r="A27" s="400"/>
      <c r="B27" s="400"/>
      <c r="C27" s="400"/>
      <c r="D27" s="400"/>
    </row>
    <row r="28" spans="1:4">
      <c r="A28" s="400" t="s">
        <v>398</v>
      </c>
      <c r="B28" s="400"/>
      <c r="C28" s="400"/>
      <c r="D28" s="400"/>
    </row>
    <row r="29" spans="1:4">
      <c r="A29" s="400"/>
      <c r="B29" s="400"/>
      <c r="C29" s="400"/>
      <c r="D29" s="400"/>
    </row>
    <row r="30" spans="1:4">
      <c r="A30" s="401" t="s">
        <v>399</v>
      </c>
      <c r="B30" s="401"/>
      <c r="C30" s="401"/>
      <c r="D30" s="401"/>
    </row>
    <row r="31" spans="1:4">
      <c r="A31" s="402"/>
      <c r="B31" s="402"/>
      <c r="C31" s="402"/>
      <c r="D31" s="402"/>
    </row>
    <row r="32" spans="1:4" ht="4.5" customHeight="1">
      <c r="A32" s="402"/>
      <c r="B32" s="402"/>
      <c r="C32" s="402"/>
      <c r="D32" s="402"/>
    </row>
    <row r="33" spans="1:4">
      <c r="A33" s="232" t="s">
        <v>400</v>
      </c>
      <c r="B33" s="232"/>
      <c r="C33" s="232"/>
      <c r="D33" s="233"/>
    </row>
    <row r="34" spans="1:4">
      <c r="A34" s="234" t="s">
        <v>401</v>
      </c>
      <c r="B34" s="234"/>
      <c r="C34" s="234" t="s">
        <v>402</v>
      </c>
      <c r="D34" s="235"/>
    </row>
    <row r="35" spans="1:4">
      <c r="A35" s="236" t="s">
        <v>403</v>
      </c>
      <c r="B35" s="237"/>
      <c r="C35" s="238" t="s">
        <v>404</v>
      </c>
      <c r="D35" s="239"/>
    </row>
    <row r="36" spans="1:4">
      <c r="A36" s="395" t="s">
        <v>405</v>
      </c>
      <c r="B36" s="395"/>
      <c r="C36" s="240"/>
      <c r="D36" s="241"/>
    </row>
    <row r="37" spans="1:4">
      <c r="A37" s="237" t="s">
        <v>406</v>
      </c>
      <c r="B37" s="237"/>
      <c r="C37" s="237"/>
      <c r="D37" s="241"/>
    </row>
    <row r="38" spans="1:4">
      <c r="A38" s="396" t="s">
        <v>407</v>
      </c>
      <c r="B38" s="396"/>
      <c r="C38" s="396"/>
      <c r="D38" s="243"/>
    </row>
    <row r="39" spans="1:4">
      <c r="A39" s="234" t="s">
        <v>408</v>
      </c>
      <c r="B39" s="242"/>
      <c r="C39" s="242"/>
      <c r="D39" s="239"/>
    </row>
    <row r="40" spans="1:4">
      <c r="A40" s="234" t="s">
        <v>409</v>
      </c>
      <c r="B40" s="234"/>
      <c r="C40" s="234"/>
      <c r="D40" s="241"/>
    </row>
    <row r="41" spans="1:4">
      <c r="A41" s="233" t="s">
        <v>410</v>
      </c>
      <c r="B41" s="233"/>
      <c r="C41" s="233"/>
      <c r="D41" s="233"/>
    </row>
    <row r="42" spans="1:4">
      <c r="A42" s="235" t="s">
        <v>411</v>
      </c>
    </row>
    <row r="43" spans="1:4">
      <c r="A43" t="s">
        <v>412</v>
      </c>
    </row>
    <row r="44" spans="1:4">
      <c r="A44" t="s">
        <v>413</v>
      </c>
    </row>
    <row r="45" spans="1:4">
      <c r="A45" t="s">
        <v>414</v>
      </c>
    </row>
    <row r="46" spans="1:4">
      <c r="A46" s="244"/>
      <c r="B46" s="244"/>
      <c r="C46" s="244"/>
      <c r="D46" s="244"/>
    </row>
    <row r="47" spans="1:4">
      <c r="A47" s="244" t="s">
        <v>415</v>
      </c>
      <c r="B47" s="244"/>
      <c r="C47" s="244"/>
      <c r="D47" s="244"/>
    </row>
  </sheetData>
  <mergeCells count="24">
    <mergeCell ref="B15:C15"/>
    <mergeCell ref="A1:D1"/>
    <mergeCell ref="A2:D2"/>
    <mergeCell ref="A4:D4"/>
    <mergeCell ref="A5:D5"/>
    <mergeCell ref="B7:C7"/>
    <mergeCell ref="B8:C8"/>
    <mergeCell ref="B9:C9"/>
    <mergeCell ref="B10:C10"/>
    <mergeCell ref="B11:C11"/>
    <mergeCell ref="B12:C12"/>
    <mergeCell ref="B13:C13"/>
    <mergeCell ref="A38:C38"/>
    <mergeCell ref="B16:C16"/>
    <mergeCell ref="A17:C17"/>
    <mergeCell ref="A18:A23"/>
    <mergeCell ref="B18:B23"/>
    <mergeCell ref="A24:C24"/>
    <mergeCell ref="A25:D25"/>
    <mergeCell ref="A26:C27"/>
    <mergeCell ref="D26:D27"/>
    <mergeCell ref="A28:D29"/>
    <mergeCell ref="A30:D32"/>
    <mergeCell ref="A36:B36"/>
  </mergeCells>
  <pageMargins left="0.511811024" right="0.511811024" top="0.78740157499999996" bottom="0.78740157499999996" header="0.31496062000000002" footer="0.31496062000000002"/>
  <pageSetup paperSize="9" scale="83" fitToHeight="0" orientation="landscape" r:id="rId1"/>
  <headerFooter>
    <oddHeader>&amp;L&amp;G&amp;CProcesso 23069.152417/2023-62
PE 25/2023&amp;R&amp;G</oddHeader>
    <oddFooter>&amp;L&amp;"-,Itálico"&amp;9&amp;A&amp;R&amp;"-,Itálico"&amp;9Página &amp;P de &amp;N</oddFooter>
  </headerFooter>
  <colBreaks count="1" manualBreakCount="1">
    <brk id="7" max="1048575" man="1"/>
  </colBreaks>
  <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0AFA0-E30C-4991-B25C-384F92BAC846}">
  <dimension ref="A1:I25"/>
  <sheetViews>
    <sheetView zoomScaleNormal="100" workbookViewId="0">
      <selection activeCell="A7" sqref="A7:I7"/>
    </sheetView>
  </sheetViews>
  <sheetFormatPr defaultColWidth="9" defaultRowHeight="14.4"/>
  <cols>
    <col min="1" max="1" width="5.33203125" bestFit="1" customWidth="1"/>
    <col min="2" max="2" width="20.44140625" customWidth="1"/>
    <col min="3" max="3" width="14.6640625" bestFit="1" customWidth="1"/>
    <col min="4" max="4" width="15.33203125" customWidth="1"/>
    <col min="5" max="5" width="16.33203125" customWidth="1"/>
    <col min="6" max="6" width="15.109375" bestFit="1" customWidth="1"/>
    <col min="7" max="7" width="15.6640625" customWidth="1"/>
    <col min="8" max="8" width="13.6640625" customWidth="1"/>
    <col min="9" max="9" width="14.33203125" bestFit="1" customWidth="1"/>
  </cols>
  <sheetData>
    <row r="1" spans="1:9" ht="14.4" customHeight="1">
      <c r="A1" s="276" t="s">
        <v>0</v>
      </c>
      <c r="B1" s="276"/>
      <c r="C1" s="276"/>
      <c r="D1" s="276"/>
      <c r="E1" s="276"/>
      <c r="F1" s="276"/>
      <c r="G1" s="276"/>
      <c r="H1" s="276"/>
      <c r="I1" s="276"/>
    </row>
    <row r="2" spans="1:9" ht="18">
      <c r="A2" s="271" t="s">
        <v>1</v>
      </c>
      <c r="B2" s="271"/>
      <c r="C2" s="271"/>
      <c r="D2" s="271"/>
      <c r="E2" s="271"/>
      <c r="F2" s="271"/>
      <c r="G2" s="271"/>
      <c r="H2" s="271"/>
      <c r="I2" s="271"/>
    </row>
    <row r="3" spans="1:9" ht="18">
      <c r="A3" s="1"/>
      <c r="B3" s="1"/>
      <c r="C3" s="1"/>
      <c r="D3" s="1"/>
      <c r="E3" s="1"/>
      <c r="F3" s="1"/>
      <c r="G3" s="1"/>
      <c r="H3" s="1"/>
    </row>
    <row r="4" spans="1:9" ht="32.25" customHeight="1">
      <c r="A4" s="390" t="s">
        <v>440</v>
      </c>
      <c r="B4" s="390"/>
      <c r="C4" s="390"/>
      <c r="D4" s="390"/>
      <c r="E4" s="390"/>
      <c r="F4" s="390"/>
      <c r="G4" s="390"/>
      <c r="H4" s="390"/>
      <c r="I4" s="390"/>
    </row>
    <row r="5" spans="1:9" ht="35.4" customHeight="1">
      <c r="A5" s="391" t="s">
        <v>223</v>
      </c>
      <c r="B5" s="391"/>
      <c r="C5" s="391"/>
      <c r="D5" s="391"/>
      <c r="E5" s="391"/>
      <c r="F5" s="391"/>
      <c r="G5" s="391"/>
      <c r="H5" s="391"/>
      <c r="I5" s="391"/>
    </row>
    <row r="7" spans="1:9">
      <c r="A7" s="422" t="s">
        <v>232</v>
      </c>
      <c r="B7" s="422"/>
      <c r="C7" s="422"/>
      <c r="D7" s="422"/>
      <c r="E7" s="422"/>
      <c r="F7" s="422"/>
      <c r="G7" s="422"/>
      <c r="H7" s="422"/>
      <c r="I7" s="422"/>
    </row>
    <row r="8" spans="1:9" ht="28.8">
      <c r="A8" s="125" t="s">
        <v>4</v>
      </c>
      <c r="B8" s="125" t="s">
        <v>101</v>
      </c>
      <c r="C8" s="137" t="s">
        <v>225</v>
      </c>
      <c r="D8" s="137" t="s">
        <v>226</v>
      </c>
      <c r="E8" s="137" t="s">
        <v>227</v>
      </c>
      <c r="F8" s="137" t="s">
        <v>228</v>
      </c>
      <c r="G8" s="137" t="s">
        <v>229</v>
      </c>
      <c r="H8" s="137" t="s">
        <v>230</v>
      </c>
      <c r="I8" s="137" t="s">
        <v>231</v>
      </c>
    </row>
    <row r="9" spans="1:9" ht="25.2">
      <c r="A9" s="103">
        <v>1</v>
      </c>
      <c r="B9" s="103" t="s">
        <v>220</v>
      </c>
      <c r="C9" s="139">
        <v>27.12</v>
      </c>
      <c r="D9" s="138" t="s">
        <v>446</v>
      </c>
      <c r="E9" s="123">
        <f>(C9*D9)+C9</f>
        <v>34.236288000000002</v>
      </c>
      <c r="F9" s="143">
        <v>16</v>
      </c>
      <c r="G9" s="143">
        <f>F9*4</f>
        <v>64</v>
      </c>
      <c r="H9" s="142">
        <f>G9*E9</f>
        <v>2191.1224320000001</v>
      </c>
      <c r="I9" s="142">
        <f>12*H9</f>
        <v>26293.469184000001</v>
      </c>
    </row>
    <row r="10" spans="1:9" ht="25.2">
      <c r="A10" s="103">
        <v>2</v>
      </c>
      <c r="B10" s="103" t="s">
        <v>221</v>
      </c>
      <c r="C10" s="139">
        <v>16.46</v>
      </c>
      <c r="D10" s="138" t="s">
        <v>446</v>
      </c>
      <c r="E10" s="123">
        <f>(C10*D10)+C10</f>
        <v>20.779104</v>
      </c>
      <c r="F10" s="143">
        <v>16</v>
      </c>
      <c r="G10" s="143">
        <f>F10*4</f>
        <v>64</v>
      </c>
      <c r="H10" s="142">
        <f>G10*E10</f>
        <v>1329.862656</v>
      </c>
      <c r="I10" s="142">
        <f>12*H10</f>
        <v>15958.351871999999</v>
      </c>
    </row>
    <row r="11" spans="1:9" ht="25.2">
      <c r="A11" s="103">
        <v>3</v>
      </c>
      <c r="B11" s="103" t="s">
        <v>129</v>
      </c>
      <c r="C11" s="139">
        <v>27.12</v>
      </c>
      <c r="D11" s="138" t="s">
        <v>446</v>
      </c>
      <c r="E11" s="123">
        <f>(C11*D11)+C11</f>
        <v>34.236288000000002</v>
      </c>
      <c r="F11" s="143">
        <v>24</v>
      </c>
      <c r="G11" s="143">
        <f>F11*4</f>
        <v>96</v>
      </c>
      <c r="H11" s="142">
        <f>G11*E11</f>
        <v>3286.6836480000002</v>
      </c>
      <c r="I11" s="142">
        <f>12*H11</f>
        <v>39440.203776000002</v>
      </c>
    </row>
    <row r="12" spans="1:9" ht="37.799999999999997">
      <c r="A12" s="103">
        <v>4</v>
      </c>
      <c r="B12" s="103" t="s">
        <v>420</v>
      </c>
      <c r="C12" s="139">
        <v>126.27</v>
      </c>
      <c r="D12" s="138" t="s">
        <v>446</v>
      </c>
      <c r="E12" s="123">
        <f>(C12*D12)+C12</f>
        <v>159.40324799999999</v>
      </c>
      <c r="F12" s="143">
        <v>24</v>
      </c>
      <c r="G12" s="143">
        <f>F12*4</f>
        <v>96</v>
      </c>
      <c r="H12" s="142">
        <f>G12*E12</f>
        <v>15302.711808</v>
      </c>
      <c r="I12" s="142">
        <f>12*H12</f>
        <v>183632.541696</v>
      </c>
    </row>
    <row r="13" spans="1:9">
      <c r="A13" s="418" t="s">
        <v>46</v>
      </c>
      <c r="B13" s="418"/>
      <c r="C13" s="140"/>
      <c r="D13" s="140"/>
      <c r="E13" s="141"/>
      <c r="F13" s="144">
        <f>SUM(F9:F12)</f>
        <v>80</v>
      </c>
      <c r="G13" s="144">
        <f>12*F13</f>
        <v>960</v>
      </c>
      <c r="H13" s="145">
        <f>SUM(H9:H12)</f>
        <v>22110.380544</v>
      </c>
      <c r="I13" s="145">
        <f>SUM(I9:I12)</f>
        <v>265324.566528</v>
      </c>
    </row>
    <row r="14" spans="1:9">
      <c r="A14" s="2"/>
      <c r="B14" s="2"/>
    </row>
    <row r="15" spans="1:9">
      <c r="A15" s="2"/>
      <c r="B15" s="2"/>
    </row>
    <row r="16" spans="1:9">
      <c r="A16" s="419" t="s">
        <v>232</v>
      </c>
      <c r="B16" s="420"/>
      <c r="C16" s="420"/>
      <c r="D16" s="420"/>
      <c r="E16" s="420"/>
      <c r="F16" s="420"/>
      <c r="G16" s="420"/>
      <c r="H16" s="421"/>
    </row>
    <row r="17" spans="1:8" ht="28.8">
      <c r="A17" s="125" t="s">
        <v>4</v>
      </c>
      <c r="B17" s="137" t="s">
        <v>362</v>
      </c>
      <c r="C17" s="137" t="s">
        <v>371</v>
      </c>
      <c r="D17" s="137" t="s">
        <v>226</v>
      </c>
      <c r="E17" s="137" t="s">
        <v>372</v>
      </c>
      <c r="F17" s="137" t="s">
        <v>365</v>
      </c>
      <c r="G17" s="137" t="s">
        <v>230</v>
      </c>
      <c r="H17" s="137" t="s">
        <v>231</v>
      </c>
    </row>
    <row r="18" spans="1:8" ht="37.799999999999997">
      <c r="A18" s="103">
        <v>1</v>
      </c>
      <c r="B18" s="103" t="s">
        <v>363</v>
      </c>
      <c r="C18" s="139">
        <v>133.38</v>
      </c>
      <c r="D18" s="246">
        <v>0.26240000000000002</v>
      </c>
      <c r="E18" s="123">
        <f>(C18*D18)+C18</f>
        <v>168.37891200000001</v>
      </c>
      <c r="F18" s="143">
        <v>14</v>
      </c>
      <c r="G18" s="142">
        <f>F18*E18</f>
        <v>2357.304768</v>
      </c>
      <c r="H18" s="142">
        <f>12*G18</f>
        <v>28287.657216</v>
      </c>
    </row>
    <row r="19" spans="1:8" ht="25.2">
      <c r="A19" s="103">
        <v>2</v>
      </c>
      <c r="B19" s="103" t="s">
        <v>364</v>
      </c>
      <c r="C19" s="139">
        <v>250</v>
      </c>
      <c r="D19" s="246">
        <v>0.26240000000000002</v>
      </c>
      <c r="E19" s="123">
        <f>(C19*D19)+C19</f>
        <v>315.60000000000002</v>
      </c>
      <c r="F19" s="143">
        <v>8</v>
      </c>
      <c r="G19" s="142">
        <f>F19*E19</f>
        <v>2524.8000000000002</v>
      </c>
      <c r="H19" s="142">
        <f>12*G19</f>
        <v>30297.600000000002</v>
      </c>
    </row>
    <row r="20" spans="1:8">
      <c r="A20" s="418" t="s">
        <v>46</v>
      </c>
      <c r="B20" s="418"/>
      <c r="C20" s="140"/>
      <c r="D20" s="140"/>
      <c r="E20" s="141"/>
      <c r="F20" s="144"/>
      <c r="G20" s="145">
        <f>SUM(G18:G19)</f>
        <v>4882.1047680000001</v>
      </c>
      <c r="H20" s="145">
        <f>SUM(H18:H19)</f>
        <v>58585.257215999998</v>
      </c>
    </row>
    <row r="22" spans="1:8">
      <c r="A22" s="419" t="s">
        <v>232</v>
      </c>
      <c r="B22" s="420"/>
      <c r="C22" s="420"/>
      <c r="D22" s="420"/>
      <c r="E22" s="420"/>
      <c r="F22" s="420"/>
      <c r="G22" s="420"/>
      <c r="H22" s="421"/>
    </row>
    <row r="23" spans="1:8" ht="28.8">
      <c r="A23" s="125" t="s">
        <v>4</v>
      </c>
      <c r="B23" s="137" t="s">
        <v>373</v>
      </c>
      <c r="C23" s="137" t="s">
        <v>371</v>
      </c>
      <c r="D23" s="137" t="s">
        <v>376</v>
      </c>
      <c r="E23" s="137" t="s">
        <v>226</v>
      </c>
      <c r="F23" s="137" t="s">
        <v>230</v>
      </c>
      <c r="G23" s="137" t="s">
        <v>231</v>
      </c>
    </row>
    <row r="24" spans="1:8" ht="37.799999999999997">
      <c r="A24" s="103">
        <v>1</v>
      </c>
      <c r="B24" s="103" t="s">
        <v>443</v>
      </c>
      <c r="C24" s="139">
        <f>'Anexo IV A Custos Mão de Obra'!F16*70%</f>
        <v>89724.237218795752</v>
      </c>
      <c r="D24" s="219">
        <v>0</v>
      </c>
      <c r="E24" s="211">
        <f>'Anexo IV C BDI Material'!D24</f>
        <v>0.15278047942916428</v>
      </c>
      <c r="F24" s="52">
        <f>(C24-(D24*C24))+(E24*(C24-(D24*C24)))</f>
        <v>103432.34919749942</v>
      </c>
      <c r="G24" s="218">
        <f>12*F24</f>
        <v>1241188.190369993</v>
      </c>
    </row>
    <row r="25" spans="1:8">
      <c r="A25" s="418" t="s">
        <v>46</v>
      </c>
      <c r="B25" s="418"/>
      <c r="C25" s="140"/>
      <c r="D25" s="140"/>
      <c r="E25" s="141"/>
      <c r="F25" s="145">
        <f>SUM(F24:F24)</f>
        <v>103432.34919749942</v>
      </c>
      <c r="G25" s="145">
        <f>SUM(G24:G24)</f>
        <v>1241188.190369993</v>
      </c>
    </row>
  </sheetData>
  <mergeCells count="10">
    <mergeCell ref="A7:I7"/>
    <mergeCell ref="A4:I4"/>
    <mergeCell ref="A5:I5"/>
    <mergeCell ref="A1:I1"/>
    <mergeCell ref="A2:I2"/>
    <mergeCell ref="A20:B20"/>
    <mergeCell ref="A16:H16"/>
    <mergeCell ref="A22:H22"/>
    <mergeCell ref="A25:B25"/>
    <mergeCell ref="A13:B13"/>
  </mergeCells>
  <pageMargins left="0.511811024" right="0.511811024" top="0.78740157499999996" bottom="0.78740157499999996" header="0.31496062000000002" footer="0.31496062000000002"/>
  <pageSetup paperSize="9" scale="83" fitToHeight="0" orientation="landscape" r:id="rId1"/>
  <headerFooter>
    <oddHeader>&amp;L&amp;G&amp;CProcesso 23069.152417/2023-62
PE 25/2023&amp;R&amp;G</oddHeader>
    <oddFooter>&amp;L&amp;"-,Itálico"&amp;9&amp;A&amp;R&amp;"-,Itálico"&amp;9Página &amp;P de &amp;N</oddFooter>
  </headerFooter>
  <drawing r:id="rId2"/>
  <legacyDrawing r:id="rId3"/>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5"/>
  <sheetViews>
    <sheetView tabSelected="1" topLeftCell="A7" zoomScaleNormal="100" workbookViewId="0">
      <selection sqref="A1:G1"/>
    </sheetView>
  </sheetViews>
  <sheetFormatPr defaultColWidth="9" defaultRowHeight="14.4"/>
  <cols>
    <col min="1" max="1" width="5.33203125" bestFit="1" customWidth="1"/>
    <col min="2" max="2" width="26.6640625" bestFit="1" customWidth="1"/>
    <col min="3" max="3" width="8" bestFit="1" customWidth="1"/>
    <col min="4" max="4" width="7.44140625" bestFit="1" customWidth="1"/>
    <col min="5" max="5" width="16.33203125" customWidth="1"/>
    <col min="6" max="6" width="14.6640625" bestFit="1" customWidth="1"/>
    <col min="7" max="7" width="16.44140625" bestFit="1" customWidth="1"/>
  </cols>
  <sheetData>
    <row r="1" spans="1:7" ht="14.4" customHeight="1">
      <c r="A1" s="276" t="s">
        <v>0</v>
      </c>
      <c r="B1" s="276"/>
      <c r="C1" s="276"/>
      <c r="D1" s="276"/>
      <c r="E1" s="276"/>
      <c r="F1" s="276"/>
      <c r="G1" s="276"/>
    </row>
    <row r="2" spans="1:7" ht="18">
      <c r="A2" s="271" t="s">
        <v>1</v>
      </c>
      <c r="B2" s="271"/>
      <c r="C2" s="271"/>
      <c r="D2" s="271"/>
      <c r="E2" s="271"/>
      <c r="F2" s="271"/>
      <c r="G2" s="271"/>
    </row>
    <row r="3" spans="1:7" ht="18">
      <c r="A3" s="1"/>
      <c r="B3" s="1"/>
      <c r="C3" s="1"/>
      <c r="D3" s="1"/>
      <c r="E3" s="1"/>
      <c r="F3" s="1"/>
      <c r="G3" s="1"/>
    </row>
    <row r="4" spans="1:7" ht="14.4" customHeight="1">
      <c r="A4" s="390" t="s">
        <v>439</v>
      </c>
      <c r="B4" s="390"/>
      <c r="C4" s="390"/>
      <c r="D4" s="390"/>
      <c r="E4" s="390"/>
      <c r="F4" s="390"/>
      <c r="G4" s="390"/>
    </row>
    <row r="5" spans="1:7" ht="35.4" customHeight="1">
      <c r="A5" s="391" t="s">
        <v>223</v>
      </c>
      <c r="B5" s="391"/>
      <c r="C5" s="391"/>
      <c r="D5" s="391"/>
      <c r="E5" s="391"/>
      <c r="F5" s="391"/>
      <c r="G5" s="391"/>
    </row>
    <row r="7" spans="1:7">
      <c r="A7" s="2"/>
      <c r="B7" s="2"/>
    </row>
    <row r="8" spans="1:7" ht="15" customHeight="1">
      <c r="A8" s="254" t="s">
        <v>4</v>
      </c>
      <c r="B8" s="254" t="s">
        <v>184</v>
      </c>
      <c r="C8" s="254" t="s">
        <v>208</v>
      </c>
      <c r="D8" s="254" t="s">
        <v>370</v>
      </c>
      <c r="E8" s="254" t="s">
        <v>104</v>
      </c>
      <c r="F8" s="254" t="s">
        <v>105</v>
      </c>
      <c r="G8" s="254" t="s">
        <v>374</v>
      </c>
    </row>
    <row r="9" spans="1:7">
      <c r="A9" s="88">
        <v>1</v>
      </c>
      <c r="B9" s="257" t="s">
        <v>213</v>
      </c>
      <c r="C9" s="258" t="s">
        <v>209</v>
      </c>
      <c r="D9" s="88">
        <v>30</v>
      </c>
      <c r="E9" s="89">
        <f>'Anexo IV A Custos Mão de Obra'!F16</f>
        <v>128177.4817411368</v>
      </c>
      <c r="F9" s="89">
        <f t="shared" ref="F9:F14" si="0">12*E9</f>
        <v>1538129.7808936415</v>
      </c>
      <c r="G9" s="89">
        <f>30*E9</f>
        <v>3845324.4522341038</v>
      </c>
    </row>
    <row r="10" spans="1:7">
      <c r="A10" s="88">
        <v>2</v>
      </c>
      <c r="B10" s="148" t="s">
        <v>236</v>
      </c>
      <c r="C10" s="259" t="s">
        <v>208</v>
      </c>
      <c r="D10" s="88">
        <v>30</v>
      </c>
      <c r="E10" s="89">
        <f>'Anexo IV D Custos Eventuais'!G19</f>
        <v>2524.8000000000002</v>
      </c>
      <c r="F10" s="89">
        <f t="shared" si="0"/>
        <v>30297.600000000002</v>
      </c>
      <c r="G10" s="89">
        <f t="shared" ref="G10:G13" si="1">30*E10</f>
        <v>75744</v>
      </c>
    </row>
    <row r="11" spans="1:7">
      <c r="A11" s="88">
        <v>3</v>
      </c>
      <c r="B11" s="148" t="s">
        <v>237</v>
      </c>
      <c r="C11" s="259" t="s">
        <v>208</v>
      </c>
      <c r="D11" s="88">
        <v>30</v>
      </c>
      <c r="E11" s="89">
        <f>'Anexo IV D Custos Eventuais'!G18</f>
        <v>2357.304768</v>
      </c>
      <c r="F11" s="89">
        <f t="shared" si="0"/>
        <v>28287.657216</v>
      </c>
      <c r="G11" s="89">
        <f t="shared" si="1"/>
        <v>70719.143039999995</v>
      </c>
    </row>
    <row r="12" spans="1:7" ht="28.8">
      <c r="A12" s="88">
        <v>4</v>
      </c>
      <c r="B12" s="147" t="s">
        <v>234</v>
      </c>
      <c r="C12" s="258" t="s">
        <v>209</v>
      </c>
      <c r="D12" s="88">
        <v>30</v>
      </c>
      <c r="E12" s="260">
        <f>'Anexo IV D Custos Eventuais'!H13</f>
        <v>22110.380544</v>
      </c>
      <c r="F12" s="89">
        <f t="shared" si="0"/>
        <v>265324.566528</v>
      </c>
      <c r="G12" s="89">
        <f t="shared" si="1"/>
        <v>663311.41631999996</v>
      </c>
    </row>
    <row r="13" spans="1:7" ht="28.8">
      <c r="A13" s="88">
        <v>5</v>
      </c>
      <c r="B13" s="264" t="s">
        <v>442</v>
      </c>
      <c r="C13" s="258" t="s">
        <v>209</v>
      </c>
      <c r="D13" s="88">
        <v>30</v>
      </c>
      <c r="E13" s="260">
        <f>'Anexo IV D Custos Eventuais'!F25</f>
        <v>103432.34919749942</v>
      </c>
      <c r="F13" s="89">
        <f t="shared" si="0"/>
        <v>1241188.190369993</v>
      </c>
      <c r="G13" s="89">
        <f t="shared" si="1"/>
        <v>3102970.4759249827</v>
      </c>
    </row>
    <row r="14" spans="1:7" ht="28.8">
      <c r="A14" s="88">
        <v>6</v>
      </c>
      <c r="B14" s="265" t="s">
        <v>444</v>
      </c>
      <c r="C14" s="266" t="s">
        <v>209</v>
      </c>
      <c r="D14" s="88">
        <v>30</v>
      </c>
      <c r="E14" s="260">
        <v>600</v>
      </c>
      <c r="F14" s="89">
        <f t="shared" si="0"/>
        <v>7200</v>
      </c>
      <c r="G14" s="89">
        <f t="shared" ref="G14" si="2">30*E14</f>
        <v>18000</v>
      </c>
    </row>
    <row r="15" spans="1:7" ht="15" customHeight="1">
      <c r="A15" s="423" t="s">
        <v>210</v>
      </c>
      <c r="B15" s="423"/>
      <c r="C15" s="423"/>
      <c r="D15" s="423"/>
      <c r="E15" s="261">
        <f>SUM(E9:E14)</f>
        <v>259202.31625063621</v>
      </c>
      <c r="F15" s="261">
        <f>SUM(F9:F14)</f>
        <v>3110427.7950076344</v>
      </c>
      <c r="G15" s="261">
        <f>SUM(G9:G14)</f>
        <v>7776069.4875190863</v>
      </c>
    </row>
  </sheetData>
  <mergeCells count="5">
    <mergeCell ref="A4:G4"/>
    <mergeCell ref="A5:G5"/>
    <mergeCell ref="A1:G1"/>
    <mergeCell ref="A2:G2"/>
    <mergeCell ref="A15:D15"/>
  </mergeCells>
  <pageMargins left="0.511811024" right="0.511811024" top="0.78740157499999996" bottom="0.78740157499999996" header="0.31496062000000002" footer="0.31496062000000002"/>
  <pageSetup paperSize="9" scale="83" orientation="landscape" r:id="rId1"/>
  <headerFooter>
    <oddHeader>&amp;L&amp;G&amp;CProcesso 23069.152417/2023-62
PE 25/2023&amp;R&amp;G</oddHeader>
    <oddFooter>&amp;L&amp;"-,Itálico"&amp;9&amp;A&amp;R&amp;"-,Itálico"&amp;9Página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
  <sheetViews>
    <sheetView zoomScaleNormal="100" zoomScaleSheetLayoutView="90" workbookViewId="0">
      <selection activeCell="A5" sqref="A5:G5"/>
    </sheetView>
  </sheetViews>
  <sheetFormatPr defaultColWidth="9" defaultRowHeight="14.4"/>
  <cols>
    <col min="1" max="1" width="17" customWidth="1"/>
    <col min="2" max="2" width="14.33203125" style="45" customWidth="1"/>
    <col min="3" max="4" width="14.109375" customWidth="1"/>
    <col min="5" max="5" width="14.33203125" customWidth="1"/>
    <col min="6" max="6" width="13.5546875" customWidth="1"/>
    <col min="7" max="7" width="12.33203125" customWidth="1"/>
    <col min="8" max="9" width="11.88671875" customWidth="1"/>
    <col min="11" max="13" width="14.109375" customWidth="1"/>
    <col min="14" max="14" width="12" customWidth="1"/>
  </cols>
  <sheetData>
    <row r="1" spans="1:15" ht="18" customHeight="1">
      <c r="A1" s="276" t="s">
        <v>0</v>
      </c>
      <c r="B1" s="276"/>
      <c r="C1" s="276"/>
      <c r="D1" s="276"/>
      <c r="E1" s="276"/>
      <c r="F1" s="276"/>
      <c r="G1" s="276"/>
      <c r="H1" s="276"/>
      <c r="I1" s="276"/>
      <c r="J1" s="5"/>
      <c r="K1" s="5"/>
      <c r="L1" s="5"/>
      <c r="M1" s="5"/>
      <c r="N1" s="5"/>
      <c r="O1" s="5"/>
    </row>
    <row r="2" spans="1:15" ht="18">
      <c r="A2" s="271" t="s">
        <v>1</v>
      </c>
      <c r="B2" s="271"/>
      <c r="C2" s="271"/>
      <c r="D2" s="271"/>
      <c r="E2" s="271"/>
      <c r="F2" s="271"/>
      <c r="G2" s="271"/>
      <c r="H2" s="271"/>
      <c r="I2" s="271"/>
      <c r="J2" s="6"/>
      <c r="K2" s="6"/>
      <c r="L2" s="6"/>
      <c r="M2" s="6"/>
      <c r="N2" s="6"/>
      <c r="O2" s="6"/>
    </row>
    <row r="4" spans="1:15" ht="14.4" customHeight="1">
      <c r="A4" s="272" t="s">
        <v>205</v>
      </c>
      <c r="B4" s="272"/>
      <c r="C4" s="272"/>
      <c r="D4" s="272"/>
      <c r="E4" s="272"/>
      <c r="F4" s="272"/>
      <c r="G4" s="272"/>
      <c r="H4" s="272"/>
      <c r="I4" s="44"/>
      <c r="J4" s="44"/>
      <c r="K4" s="44"/>
      <c r="L4" s="44"/>
      <c r="M4" s="44"/>
      <c r="N4" s="44"/>
      <c r="O4" s="44"/>
    </row>
    <row r="5" spans="1:15" ht="36.75" customHeight="1">
      <c r="A5" s="268" t="s">
        <v>223</v>
      </c>
      <c r="B5" s="268"/>
      <c r="C5" s="268"/>
      <c r="D5" s="268"/>
      <c r="E5" s="268"/>
      <c r="F5" s="268"/>
      <c r="G5" s="268"/>
      <c r="H5" s="268"/>
      <c r="I5" s="268"/>
      <c r="J5" s="8"/>
      <c r="K5" s="8"/>
      <c r="L5" s="8"/>
      <c r="M5" s="8"/>
      <c r="N5" s="8"/>
      <c r="O5" s="8"/>
    </row>
    <row r="6" spans="1:15">
      <c r="A6" s="170"/>
      <c r="B6" s="170"/>
      <c r="C6" s="171"/>
      <c r="D6" s="171"/>
      <c r="E6" s="171"/>
      <c r="F6" s="171"/>
      <c r="G6" s="171"/>
      <c r="H6" s="171"/>
      <c r="I6" s="171"/>
      <c r="J6" s="171"/>
      <c r="K6" s="171"/>
      <c r="L6" s="171"/>
      <c r="M6" s="171"/>
      <c r="N6" s="171"/>
      <c r="O6" s="172"/>
    </row>
    <row r="7" spans="1:15" ht="15" customHeight="1">
      <c r="A7" s="273" t="s">
        <v>101</v>
      </c>
      <c r="B7" s="274"/>
      <c r="C7" s="274"/>
      <c r="D7" s="274"/>
      <c r="E7" s="274"/>
      <c r="F7" s="274"/>
      <c r="G7" s="274"/>
      <c r="H7" s="274"/>
      <c r="I7" s="275"/>
    </row>
    <row r="8" spans="1:15" ht="63">
      <c r="A8" s="137" t="s">
        <v>268</v>
      </c>
      <c r="B8" s="173" t="s">
        <v>211</v>
      </c>
      <c r="C8" s="173" t="s">
        <v>275</v>
      </c>
      <c r="D8" s="173" t="s">
        <v>274</v>
      </c>
      <c r="E8" s="173" t="s">
        <v>277</v>
      </c>
      <c r="F8" s="173" t="s">
        <v>224</v>
      </c>
      <c r="G8" s="173" t="s">
        <v>276</v>
      </c>
      <c r="H8" s="173" t="s">
        <v>272</v>
      </c>
      <c r="I8" s="173" t="s">
        <v>273</v>
      </c>
    </row>
    <row r="9" spans="1:15">
      <c r="A9" s="149" t="s">
        <v>278</v>
      </c>
      <c r="B9" s="176">
        <v>1</v>
      </c>
      <c r="C9" s="177">
        <v>1</v>
      </c>
      <c r="D9" s="177">
        <v>1</v>
      </c>
      <c r="E9" s="177">
        <v>4</v>
      </c>
      <c r="F9" s="177">
        <v>0</v>
      </c>
      <c r="G9" s="177">
        <v>4</v>
      </c>
      <c r="H9" s="177">
        <v>1</v>
      </c>
      <c r="I9" s="177">
        <v>1</v>
      </c>
    </row>
    <row r="10" spans="1:15" ht="28.8">
      <c r="A10" s="149" t="s">
        <v>222</v>
      </c>
      <c r="B10" s="174"/>
      <c r="C10" s="70"/>
      <c r="D10" s="70"/>
      <c r="E10" s="70">
        <v>2</v>
      </c>
      <c r="F10" s="70"/>
      <c r="G10" s="70">
        <v>1</v>
      </c>
      <c r="H10" s="70"/>
      <c r="I10" s="70"/>
    </row>
    <row r="11" spans="1:15">
      <c r="A11" s="137" t="s">
        <v>46</v>
      </c>
      <c r="B11" s="175">
        <f t="shared" ref="B11:I11" si="0">SUM(B9:B10)</f>
        <v>1</v>
      </c>
      <c r="C11" s="175">
        <f t="shared" si="0"/>
        <v>1</v>
      </c>
      <c r="D11" s="175">
        <f t="shared" si="0"/>
        <v>1</v>
      </c>
      <c r="E11" s="175">
        <f t="shared" si="0"/>
        <v>6</v>
      </c>
      <c r="F11" s="175">
        <f t="shared" si="0"/>
        <v>0</v>
      </c>
      <c r="G11" s="175">
        <f t="shared" si="0"/>
        <v>5</v>
      </c>
      <c r="H11" s="175">
        <f t="shared" si="0"/>
        <v>1</v>
      </c>
      <c r="I11" s="175">
        <f t="shared" si="0"/>
        <v>1</v>
      </c>
    </row>
  </sheetData>
  <mergeCells count="5">
    <mergeCell ref="A4:H4"/>
    <mergeCell ref="A7:I7"/>
    <mergeCell ref="A5:I5"/>
    <mergeCell ref="A2:I2"/>
    <mergeCell ref="A1:I1"/>
  </mergeCells>
  <pageMargins left="0.511811024" right="0.511811024" top="0.78740157499999996" bottom="0.78740157499999996" header="0.31496062000000002" footer="0.31496062000000002"/>
  <pageSetup paperSize="9" scale="83" orientation="landscape" r:id="rId1"/>
  <headerFooter>
    <oddHeader>&amp;L&amp;G&amp;CProcesso 23069.152417/2023-62
PE 25/2023&amp;R&amp;G</oddHeader>
    <oddFooter>&amp;L&amp;"-,Itálico"&amp;9&amp;A&amp;R&amp;"-,Itálico"&amp;9Página &amp;P de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1"/>
  <sheetViews>
    <sheetView zoomScaleNormal="100" zoomScaleSheetLayoutView="90" workbookViewId="0">
      <selection activeCell="A5" sqref="A5:G5"/>
    </sheetView>
  </sheetViews>
  <sheetFormatPr defaultColWidth="9" defaultRowHeight="14.4"/>
  <cols>
    <col min="1" max="1" width="5.44140625" bestFit="1" customWidth="1"/>
    <col min="2" max="2" width="39.44140625" bestFit="1" customWidth="1"/>
    <col min="3" max="3" width="62.33203125" bestFit="1" customWidth="1"/>
    <col min="4" max="4" width="10.88671875" customWidth="1"/>
    <col min="6" max="6" width="11.44140625" customWidth="1"/>
    <col min="7" max="7" width="10.44140625" customWidth="1"/>
    <col min="10" max="10" width="14.109375" customWidth="1"/>
    <col min="11" max="11" width="12" customWidth="1"/>
    <col min="12" max="12" width="11.5546875" customWidth="1"/>
  </cols>
  <sheetData>
    <row r="1" spans="1:13" ht="18.75" customHeight="1">
      <c r="A1" s="276" t="s">
        <v>0</v>
      </c>
      <c r="B1" s="276"/>
      <c r="C1" s="276"/>
      <c r="D1" s="5"/>
      <c r="E1" s="5"/>
      <c r="F1" s="5"/>
      <c r="G1" s="5"/>
      <c r="H1" s="5"/>
      <c r="I1" s="5"/>
      <c r="J1" s="5"/>
      <c r="K1" s="5"/>
      <c r="L1" s="5"/>
      <c r="M1" s="5"/>
    </row>
    <row r="2" spans="1:13" ht="18">
      <c r="A2" s="271" t="s">
        <v>1</v>
      </c>
      <c r="B2" s="271"/>
      <c r="C2" s="271"/>
      <c r="D2" s="6"/>
      <c r="E2" s="6"/>
      <c r="F2" s="6"/>
      <c r="G2" s="6"/>
      <c r="H2" s="6"/>
      <c r="I2" s="6"/>
      <c r="J2" s="6"/>
      <c r="K2" s="6"/>
      <c r="L2" s="6"/>
      <c r="M2" s="6"/>
    </row>
    <row r="4" spans="1:13" ht="15" customHeight="1">
      <c r="A4" s="272" t="s">
        <v>203</v>
      </c>
      <c r="B4" s="272"/>
      <c r="C4" s="272"/>
      <c r="D4" s="44"/>
      <c r="E4" s="44"/>
      <c r="F4" s="44"/>
      <c r="G4" s="44"/>
      <c r="H4" s="44"/>
      <c r="I4" s="44"/>
      <c r="J4" s="44"/>
      <c r="K4" s="44"/>
      <c r="L4" s="44"/>
      <c r="M4" s="44"/>
    </row>
    <row r="5" spans="1:13" ht="53.25" customHeight="1">
      <c r="A5" s="268" t="s">
        <v>223</v>
      </c>
      <c r="B5" s="268"/>
      <c r="C5" s="268"/>
      <c r="D5" s="8"/>
      <c r="E5" s="8"/>
      <c r="F5" s="8"/>
      <c r="G5" s="8"/>
      <c r="H5" s="8"/>
      <c r="I5" s="8"/>
      <c r="J5" s="8"/>
      <c r="K5" s="8"/>
      <c r="L5" s="8"/>
      <c r="M5" s="8"/>
    </row>
    <row r="6" spans="1:13" ht="15" thickBot="1">
      <c r="A6" s="13"/>
      <c r="B6" s="13"/>
      <c r="C6" s="13"/>
      <c r="D6" s="8"/>
      <c r="E6" s="8"/>
      <c r="F6" s="8"/>
      <c r="G6" s="8"/>
      <c r="H6" s="8"/>
      <c r="I6" s="8"/>
      <c r="J6" s="8"/>
      <c r="K6" s="8"/>
      <c r="L6" s="8"/>
      <c r="M6" s="8"/>
    </row>
    <row r="7" spans="1:13">
      <c r="B7" s="247" t="s">
        <v>204</v>
      </c>
      <c r="C7" s="248" t="s">
        <v>113</v>
      </c>
    </row>
    <row r="8" spans="1:13">
      <c r="B8" s="249" t="s">
        <v>238</v>
      </c>
      <c r="C8" s="250" t="s">
        <v>114</v>
      </c>
    </row>
    <row r="9" spans="1:13">
      <c r="B9" s="249" t="s">
        <v>270</v>
      </c>
      <c r="C9" s="250" t="s">
        <v>283</v>
      </c>
    </row>
    <row r="10" spans="1:13">
      <c r="B10" s="249" t="s">
        <v>239</v>
      </c>
      <c r="C10" s="250" t="s">
        <v>279</v>
      </c>
    </row>
    <row r="11" spans="1:13">
      <c r="B11" s="249" t="s">
        <v>115</v>
      </c>
      <c r="C11" s="277" t="s">
        <v>281</v>
      </c>
    </row>
    <row r="12" spans="1:13" ht="25.5" customHeight="1">
      <c r="B12" s="251" t="s">
        <v>116</v>
      </c>
      <c r="C12" s="278"/>
    </row>
    <row r="13" spans="1:13">
      <c r="B13" s="251" t="s">
        <v>117</v>
      </c>
      <c r="C13" s="278"/>
    </row>
    <row r="14" spans="1:13">
      <c r="B14" s="251" t="s">
        <v>271</v>
      </c>
      <c r="C14" s="278"/>
    </row>
    <row r="15" spans="1:13">
      <c r="B15" s="251" t="s">
        <v>280</v>
      </c>
      <c r="C15" s="278"/>
    </row>
    <row r="16" spans="1:13" ht="27.6">
      <c r="B16" s="251" t="s">
        <v>118</v>
      </c>
      <c r="C16" s="278"/>
    </row>
    <row r="17" spans="2:3">
      <c r="B17" s="251" t="s">
        <v>119</v>
      </c>
      <c r="C17" s="278"/>
    </row>
    <row r="18" spans="2:3" ht="27.6">
      <c r="B18" s="251" t="s">
        <v>120</v>
      </c>
      <c r="C18" s="279"/>
    </row>
    <row r="19" spans="2:3" ht="25.5" customHeight="1">
      <c r="B19" s="251" t="s">
        <v>122</v>
      </c>
      <c r="C19" s="277" t="s">
        <v>121</v>
      </c>
    </row>
    <row r="20" spans="2:3">
      <c r="B20" s="251" t="s">
        <v>123</v>
      </c>
      <c r="C20" s="278"/>
    </row>
    <row r="21" spans="2:3" ht="15" thickBot="1">
      <c r="B21" s="252" t="s">
        <v>124</v>
      </c>
      <c r="C21" s="253" t="s">
        <v>282</v>
      </c>
    </row>
  </sheetData>
  <mergeCells count="6">
    <mergeCell ref="C19:C20"/>
    <mergeCell ref="A1:C1"/>
    <mergeCell ref="A2:C2"/>
    <mergeCell ref="A4:C4"/>
    <mergeCell ref="A5:C5"/>
    <mergeCell ref="C11:C18"/>
  </mergeCells>
  <pageMargins left="0.511811024" right="0.511811024" top="0.78740157499999996" bottom="0.78740157499999996" header="0.31496062000000002" footer="0.31496062000000002"/>
  <pageSetup paperSize="9" scale="83" orientation="portrait" r:id="rId1"/>
  <headerFooter>
    <oddHeader>&amp;L&amp;G&amp;CProcesso 23069.152417/2023-62
PE 25/2023&amp;R&amp;G</oddHeader>
    <oddFooter>&amp;L&amp;"-,Itálico"&amp;9&amp;A&amp;R&amp;"-,Itálico"&amp;9Página &amp;P de &amp;N</oddFooter>
  </headerFooter>
  <colBreaks count="1" manualBreakCount="1">
    <brk id="3"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9"/>
  <sheetViews>
    <sheetView zoomScaleNormal="100" workbookViewId="0">
      <selection sqref="A1:G1"/>
    </sheetView>
  </sheetViews>
  <sheetFormatPr defaultColWidth="8.88671875" defaultRowHeight="14.4"/>
  <cols>
    <col min="1" max="1" width="5.33203125" style="79" customWidth="1"/>
    <col min="2" max="2" width="46.88671875" style="79" customWidth="1"/>
    <col min="3" max="3" width="9.88671875" style="79" customWidth="1"/>
    <col min="4" max="4" width="11.6640625" style="79" customWidth="1"/>
    <col min="5" max="5" width="11.88671875" style="79" bestFit="1" customWidth="1"/>
    <col min="6" max="6" width="14.109375" style="79" customWidth="1"/>
    <col min="7" max="7" width="12.109375" style="79" bestFit="1" customWidth="1"/>
    <col min="8" max="8" width="12.5546875" style="79" bestFit="1" customWidth="1"/>
    <col min="9" max="16384" width="8.88671875" style="79"/>
  </cols>
  <sheetData>
    <row r="1" spans="1:8" ht="18.75" customHeight="1">
      <c r="A1" s="314" t="s">
        <v>0</v>
      </c>
      <c r="B1" s="314"/>
      <c r="C1" s="314"/>
      <c r="D1" s="314"/>
      <c r="E1" s="314"/>
      <c r="F1" s="314"/>
      <c r="G1" s="314"/>
      <c r="H1" s="78"/>
    </row>
    <row r="2" spans="1:8">
      <c r="A2" s="315" t="s">
        <v>1</v>
      </c>
      <c r="B2" s="315"/>
      <c r="C2" s="315"/>
      <c r="D2" s="315"/>
      <c r="E2" s="315"/>
      <c r="F2" s="315"/>
      <c r="G2" s="315"/>
      <c r="H2" s="80"/>
    </row>
    <row r="4" spans="1:8" ht="15" customHeight="1">
      <c r="A4" s="272" t="s">
        <v>352</v>
      </c>
      <c r="B4" s="272"/>
      <c r="C4" s="272"/>
      <c r="D4" s="272"/>
      <c r="E4" s="272"/>
      <c r="F4" s="272"/>
      <c r="G4" s="272"/>
      <c r="H4" s="7"/>
    </row>
    <row r="5" spans="1:8" ht="38.25" customHeight="1" thickBot="1">
      <c r="A5" s="268" t="s">
        <v>223</v>
      </c>
      <c r="B5" s="268"/>
      <c r="C5" s="268"/>
      <c r="D5" s="268"/>
      <c r="E5" s="268"/>
      <c r="F5" s="268"/>
      <c r="G5" s="268"/>
      <c r="H5" s="8"/>
    </row>
    <row r="6" spans="1:8" ht="15.75" customHeight="1">
      <c r="A6" s="311" t="s">
        <v>216</v>
      </c>
      <c r="B6" s="312"/>
      <c r="C6" s="312"/>
      <c r="D6" s="312"/>
      <c r="E6" s="312"/>
      <c r="F6" s="312"/>
      <c r="G6" s="313"/>
    </row>
    <row r="7" spans="1:8" ht="15.75" customHeight="1">
      <c r="A7" s="307" t="s">
        <v>4</v>
      </c>
      <c r="B7" s="309" t="s">
        <v>5</v>
      </c>
      <c r="C7" s="309" t="s">
        <v>149</v>
      </c>
      <c r="D7" s="309" t="s">
        <v>125</v>
      </c>
      <c r="E7" s="309" t="s">
        <v>126</v>
      </c>
      <c r="F7" s="310"/>
      <c r="G7" s="300" t="s">
        <v>150</v>
      </c>
    </row>
    <row r="8" spans="1:8" ht="43.2">
      <c r="A8" s="308"/>
      <c r="B8" s="310"/>
      <c r="C8" s="310"/>
      <c r="D8" s="310"/>
      <c r="E8" s="53" t="s">
        <v>127</v>
      </c>
      <c r="F8" s="42" t="s">
        <v>151</v>
      </c>
      <c r="G8" s="301"/>
    </row>
    <row r="9" spans="1:8" ht="51.75" customHeight="1">
      <c r="A9" s="81">
        <v>1</v>
      </c>
      <c r="B9" s="85" t="s">
        <v>165</v>
      </c>
      <c r="C9" s="85">
        <v>6</v>
      </c>
      <c r="D9" s="85" t="s">
        <v>166</v>
      </c>
      <c r="E9" s="86">
        <v>67.88</v>
      </c>
      <c r="F9" s="83">
        <f>E9*C9</f>
        <v>407.28</v>
      </c>
      <c r="G9" s="280" t="s">
        <v>212</v>
      </c>
    </row>
    <row r="10" spans="1:8" ht="28.8">
      <c r="A10" s="48">
        <v>2</v>
      </c>
      <c r="B10" s="85" t="s">
        <v>200</v>
      </c>
      <c r="C10" s="85">
        <v>6</v>
      </c>
      <c r="D10" s="85" t="s">
        <v>128</v>
      </c>
      <c r="E10" s="86">
        <v>36.33</v>
      </c>
      <c r="F10" s="83">
        <f>E10*C10</f>
        <v>217.98</v>
      </c>
      <c r="G10" s="281"/>
    </row>
    <row r="11" spans="1:8">
      <c r="A11" s="48">
        <v>3</v>
      </c>
      <c r="B11" s="43" t="s">
        <v>157</v>
      </c>
      <c r="C11" s="43">
        <v>10</v>
      </c>
      <c r="D11" s="43" t="s">
        <v>158</v>
      </c>
      <c r="E11" s="82">
        <v>7.39</v>
      </c>
      <c r="F11" s="83">
        <f>E11*C11</f>
        <v>73.899999999999991</v>
      </c>
      <c r="G11" s="281"/>
    </row>
    <row r="12" spans="1:8" ht="28.8">
      <c r="A12" s="87">
        <v>4</v>
      </c>
      <c r="B12" s="191" t="s">
        <v>347</v>
      </c>
      <c r="C12" s="191">
        <v>2</v>
      </c>
      <c r="D12" s="191" t="s">
        <v>158</v>
      </c>
      <c r="E12" s="195">
        <v>59.31</v>
      </c>
      <c r="F12" s="83">
        <f>E12*C12</f>
        <v>118.62</v>
      </c>
      <c r="G12" s="282"/>
    </row>
    <row r="13" spans="1:8" ht="36.75" customHeight="1">
      <c r="A13" s="48">
        <v>5</v>
      </c>
      <c r="B13" s="43" t="s">
        <v>163</v>
      </c>
      <c r="C13" s="43">
        <v>1</v>
      </c>
      <c r="D13" s="43" t="s">
        <v>128</v>
      </c>
      <c r="E13" s="82">
        <v>2.34</v>
      </c>
      <c r="F13" s="83">
        <f>E13*C13</f>
        <v>2.34</v>
      </c>
      <c r="G13" s="281"/>
    </row>
    <row r="14" spans="1:8">
      <c r="A14" s="302" t="s">
        <v>164</v>
      </c>
      <c r="B14" s="303"/>
      <c r="C14" s="303"/>
      <c r="D14" s="303"/>
      <c r="E14" s="303"/>
      <c r="F14" s="197">
        <f>SUM(F9:F13)</f>
        <v>820.12</v>
      </c>
      <c r="G14" s="198"/>
    </row>
    <row r="15" spans="1:8">
      <c r="A15" s="302" t="s">
        <v>199</v>
      </c>
      <c r="B15" s="303"/>
      <c r="C15" s="303"/>
      <c r="D15" s="303"/>
      <c r="E15" s="303"/>
      <c r="F15" s="199">
        <f>F14/12</f>
        <v>68.343333333333334</v>
      </c>
      <c r="G15" s="200"/>
    </row>
    <row r="16" spans="1:8" ht="15" thickBot="1"/>
    <row r="17" spans="1:7" ht="15.75" customHeight="1">
      <c r="A17" s="311" t="s">
        <v>343</v>
      </c>
      <c r="B17" s="312"/>
      <c r="C17" s="312"/>
      <c r="D17" s="312"/>
      <c r="E17" s="312"/>
      <c r="F17" s="312"/>
      <c r="G17" s="313"/>
    </row>
    <row r="18" spans="1:7" ht="15.75" customHeight="1">
      <c r="A18" s="307" t="s">
        <v>4</v>
      </c>
      <c r="B18" s="309" t="s">
        <v>5</v>
      </c>
      <c r="C18" s="309" t="s">
        <v>149</v>
      </c>
      <c r="D18" s="309" t="s">
        <v>125</v>
      </c>
      <c r="E18" s="309" t="s">
        <v>126</v>
      </c>
      <c r="F18" s="310"/>
      <c r="G18" s="300" t="s">
        <v>150</v>
      </c>
    </row>
    <row r="19" spans="1:7" ht="43.2">
      <c r="A19" s="308"/>
      <c r="B19" s="310"/>
      <c r="C19" s="310"/>
      <c r="D19" s="310"/>
      <c r="E19" s="53" t="s">
        <v>127</v>
      </c>
      <c r="F19" s="42" t="s">
        <v>151</v>
      </c>
      <c r="G19" s="301"/>
    </row>
    <row r="20" spans="1:7" ht="51.75" customHeight="1">
      <c r="A20" s="81" t="s">
        <v>152</v>
      </c>
      <c r="B20" s="191" t="s">
        <v>153</v>
      </c>
      <c r="C20" s="191">
        <v>6</v>
      </c>
      <c r="D20" s="191" t="s">
        <v>128</v>
      </c>
      <c r="E20" s="82">
        <v>36.97</v>
      </c>
      <c r="F20" s="83">
        <f t="shared" ref="F20:F25" si="0">E20*C20</f>
        <v>221.82</v>
      </c>
      <c r="G20" s="280" t="s">
        <v>154</v>
      </c>
    </row>
    <row r="21" spans="1:7" ht="43.2">
      <c r="A21" s="48" t="s">
        <v>155</v>
      </c>
      <c r="B21" s="191" t="s">
        <v>201</v>
      </c>
      <c r="C21" s="191">
        <v>6</v>
      </c>
      <c r="D21" s="191" t="s">
        <v>128</v>
      </c>
      <c r="E21" s="82">
        <v>29.82</v>
      </c>
      <c r="F21" s="83">
        <f t="shared" si="0"/>
        <v>178.92000000000002</v>
      </c>
      <c r="G21" s="281"/>
    </row>
    <row r="22" spans="1:7">
      <c r="A22" s="48" t="s">
        <v>156</v>
      </c>
      <c r="B22" s="191" t="s">
        <v>157</v>
      </c>
      <c r="C22" s="191">
        <v>10</v>
      </c>
      <c r="D22" s="191" t="s">
        <v>158</v>
      </c>
      <c r="E22" s="82">
        <v>7.39</v>
      </c>
      <c r="F22" s="83">
        <f t="shared" si="0"/>
        <v>73.899999999999991</v>
      </c>
      <c r="G22" s="281"/>
    </row>
    <row r="23" spans="1:7" ht="28.8">
      <c r="A23" s="48" t="s">
        <v>159</v>
      </c>
      <c r="B23" s="191" t="s">
        <v>198</v>
      </c>
      <c r="C23" s="191">
        <v>2</v>
      </c>
      <c r="D23" s="191" t="s">
        <v>128</v>
      </c>
      <c r="E23" s="82">
        <v>48.16</v>
      </c>
      <c r="F23" s="83">
        <f t="shared" si="0"/>
        <v>96.32</v>
      </c>
      <c r="G23" s="281"/>
    </row>
    <row r="24" spans="1:7" ht="43.2">
      <c r="A24" s="48" t="s">
        <v>160</v>
      </c>
      <c r="B24" s="191" t="s">
        <v>161</v>
      </c>
      <c r="C24" s="191">
        <v>4</v>
      </c>
      <c r="D24" s="191" t="s">
        <v>128</v>
      </c>
      <c r="E24" s="82">
        <v>38.33</v>
      </c>
      <c r="F24" s="83">
        <f t="shared" si="0"/>
        <v>153.32</v>
      </c>
      <c r="G24" s="281"/>
    </row>
    <row r="25" spans="1:7">
      <c r="A25" s="48" t="s">
        <v>162</v>
      </c>
      <c r="B25" s="191" t="s">
        <v>163</v>
      </c>
      <c r="C25" s="191">
        <v>1</v>
      </c>
      <c r="D25" s="191" t="s">
        <v>128</v>
      </c>
      <c r="E25" s="82">
        <v>2.34</v>
      </c>
      <c r="F25" s="83">
        <f t="shared" si="0"/>
        <v>2.34</v>
      </c>
      <c r="G25" s="281"/>
    </row>
    <row r="26" spans="1:7">
      <c r="A26" s="302" t="s">
        <v>164</v>
      </c>
      <c r="B26" s="303"/>
      <c r="C26" s="303"/>
      <c r="D26" s="303"/>
      <c r="E26" s="303"/>
      <c r="F26" s="197">
        <f>SUM(F20:F25)</f>
        <v>726.62</v>
      </c>
      <c r="G26" s="198"/>
    </row>
    <row r="27" spans="1:7">
      <c r="A27" s="302" t="s">
        <v>199</v>
      </c>
      <c r="B27" s="303"/>
      <c r="C27" s="303"/>
      <c r="D27" s="303"/>
      <c r="E27" s="303"/>
      <c r="F27" s="199">
        <f>F26/12</f>
        <v>60.551666666666669</v>
      </c>
      <c r="G27" s="200"/>
    </row>
    <row r="28" spans="1:7" ht="15.75" customHeight="1">
      <c r="A28" s="304" t="s">
        <v>348</v>
      </c>
      <c r="B28" s="305"/>
      <c r="C28" s="305"/>
      <c r="D28" s="305"/>
      <c r="E28" s="305"/>
      <c r="F28" s="305"/>
      <c r="G28" s="306"/>
    </row>
    <row r="29" spans="1:7" ht="43.2">
      <c r="A29" s="46" t="s">
        <v>167</v>
      </c>
      <c r="B29" s="42" t="s">
        <v>168</v>
      </c>
      <c r="C29" s="196" t="s">
        <v>349</v>
      </c>
      <c r="D29" s="196" t="s">
        <v>350</v>
      </c>
      <c r="E29" s="42" t="s">
        <v>172</v>
      </c>
      <c r="F29" s="42" t="s">
        <v>169</v>
      </c>
      <c r="G29" s="47" t="s">
        <v>170</v>
      </c>
    </row>
    <row r="30" spans="1:7" ht="72">
      <c r="A30" s="48">
        <v>1</v>
      </c>
      <c r="B30" s="193" t="s">
        <v>344</v>
      </c>
      <c r="C30" s="194">
        <v>1</v>
      </c>
      <c r="D30" s="194">
        <v>1</v>
      </c>
      <c r="E30" s="194">
        <f>SUM(C30:D30)</f>
        <v>2</v>
      </c>
      <c r="F30" s="84">
        <v>47.84</v>
      </c>
      <c r="G30" s="75">
        <f>F30*E30</f>
        <v>95.68</v>
      </c>
    </row>
    <row r="31" spans="1:7">
      <c r="A31" s="48">
        <v>2</v>
      </c>
      <c r="B31" s="193" t="s">
        <v>345</v>
      </c>
      <c r="C31" s="194">
        <v>1</v>
      </c>
      <c r="D31" s="194">
        <v>1</v>
      </c>
      <c r="E31" s="194">
        <f t="shared" ref="E31:E46" si="1">SUM(C31:D31)</f>
        <v>2</v>
      </c>
      <c r="F31" s="84">
        <v>11.04</v>
      </c>
      <c r="G31" s="75">
        <f t="shared" ref="G31:G46" si="2">F31*E31</f>
        <v>22.08</v>
      </c>
    </row>
    <row r="32" spans="1:7">
      <c r="A32" s="48">
        <v>3</v>
      </c>
      <c r="B32" s="193" t="s">
        <v>171</v>
      </c>
      <c r="C32" s="194">
        <v>1</v>
      </c>
      <c r="D32" s="194">
        <v>1</v>
      </c>
      <c r="E32" s="194">
        <f t="shared" si="1"/>
        <v>2</v>
      </c>
      <c r="F32" s="84">
        <v>4.3</v>
      </c>
      <c r="G32" s="75">
        <f t="shared" si="2"/>
        <v>8.6</v>
      </c>
    </row>
    <row r="33" spans="1:7">
      <c r="A33" s="48">
        <v>4</v>
      </c>
      <c r="B33" s="193" t="s">
        <v>351</v>
      </c>
      <c r="C33" s="194">
        <v>2</v>
      </c>
      <c r="D33" s="194">
        <v>2</v>
      </c>
      <c r="E33" s="194">
        <f t="shared" si="1"/>
        <v>4</v>
      </c>
      <c r="F33" s="84">
        <v>8.27</v>
      </c>
      <c r="G33" s="75">
        <f t="shared" si="2"/>
        <v>33.08</v>
      </c>
    </row>
    <row r="34" spans="1:7">
      <c r="A34" s="48">
        <v>5</v>
      </c>
      <c r="B34" s="193" t="s">
        <v>346</v>
      </c>
      <c r="C34" s="194">
        <v>1</v>
      </c>
      <c r="D34" s="194">
        <v>1</v>
      </c>
      <c r="E34" s="194">
        <f t="shared" si="1"/>
        <v>2</v>
      </c>
      <c r="F34" s="84">
        <v>3.95</v>
      </c>
      <c r="G34" s="75">
        <f t="shared" si="2"/>
        <v>7.9</v>
      </c>
    </row>
    <row r="35" spans="1:7">
      <c r="A35" s="48">
        <v>6</v>
      </c>
      <c r="B35" s="191" t="s">
        <v>173</v>
      </c>
      <c r="C35" s="192">
        <v>1</v>
      </c>
      <c r="D35" s="192">
        <v>1</v>
      </c>
      <c r="E35" s="194">
        <f t="shared" si="1"/>
        <v>2</v>
      </c>
      <c r="F35" s="84">
        <v>11.36</v>
      </c>
      <c r="G35" s="75">
        <f t="shared" si="2"/>
        <v>22.72</v>
      </c>
    </row>
    <row r="36" spans="1:7">
      <c r="A36" s="48">
        <v>7</v>
      </c>
      <c r="B36" s="191" t="s">
        <v>174</v>
      </c>
      <c r="C36" s="192">
        <v>1</v>
      </c>
      <c r="D36" s="192">
        <v>1</v>
      </c>
      <c r="E36" s="194">
        <f t="shared" si="1"/>
        <v>2</v>
      </c>
      <c r="F36" s="84">
        <v>27.4</v>
      </c>
      <c r="G36" s="75">
        <f t="shared" si="2"/>
        <v>54.8</v>
      </c>
    </row>
    <row r="37" spans="1:7">
      <c r="A37" s="48">
        <v>8</v>
      </c>
      <c r="B37" s="191" t="s">
        <v>175</v>
      </c>
      <c r="C37" s="192">
        <v>2</v>
      </c>
      <c r="D37" s="192">
        <v>1</v>
      </c>
      <c r="E37" s="194">
        <f t="shared" si="1"/>
        <v>3</v>
      </c>
      <c r="F37" s="84">
        <v>4.34</v>
      </c>
      <c r="G37" s="75">
        <f t="shared" si="2"/>
        <v>13.02</v>
      </c>
    </row>
    <row r="38" spans="1:7">
      <c r="A38" s="48">
        <v>9</v>
      </c>
      <c r="B38" s="191" t="s">
        <v>176</v>
      </c>
      <c r="C38" s="192">
        <v>2</v>
      </c>
      <c r="D38" s="192">
        <v>1</v>
      </c>
      <c r="E38" s="194">
        <f t="shared" si="1"/>
        <v>3</v>
      </c>
      <c r="F38" s="84">
        <v>6.54</v>
      </c>
      <c r="G38" s="75">
        <f t="shared" si="2"/>
        <v>19.62</v>
      </c>
    </row>
    <row r="39" spans="1:7">
      <c r="A39" s="48">
        <v>10</v>
      </c>
      <c r="B39" s="191" t="s">
        <v>177</v>
      </c>
      <c r="C39" s="192">
        <v>1</v>
      </c>
      <c r="D39" s="192">
        <v>1</v>
      </c>
      <c r="E39" s="194">
        <f t="shared" si="1"/>
        <v>2</v>
      </c>
      <c r="F39" s="84">
        <v>8.27</v>
      </c>
      <c r="G39" s="75">
        <f t="shared" si="2"/>
        <v>16.54</v>
      </c>
    </row>
    <row r="40" spans="1:7">
      <c r="A40" s="48">
        <v>11</v>
      </c>
      <c r="B40" s="191" t="s">
        <v>178</v>
      </c>
      <c r="C40" s="192">
        <v>2</v>
      </c>
      <c r="D40" s="192">
        <v>1</v>
      </c>
      <c r="E40" s="194">
        <f t="shared" si="1"/>
        <v>3</v>
      </c>
      <c r="F40" s="84">
        <v>13.53</v>
      </c>
      <c r="G40" s="75">
        <f t="shared" si="2"/>
        <v>40.589999999999996</v>
      </c>
    </row>
    <row r="41" spans="1:7">
      <c r="A41" s="48">
        <v>12</v>
      </c>
      <c r="B41" s="191" t="s">
        <v>179</v>
      </c>
      <c r="C41" s="192">
        <v>1</v>
      </c>
      <c r="D41" s="192">
        <v>1</v>
      </c>
      <c r="E41" s="194">
        <f t="shared" si="1"/>
        <v>2</v>
      </c>
      <c r="F41" s="84">
        <v>17.559999999999999</v>
      </c>
      <c r="G41" s="75">
        <f t="shared" si="2"/>
        <v>35.119999999999997</v>
      </c>
    </row>
    <row r="42" spans="1:7">
      <c r="A42" s="48">
        <v>13</v>
      </c>
      <c r="B42" s="191" t="s">
        <v>180</v>
      </c>
      <c r="C42" s="192">
        <v>1</v>
      </c>
      <c r="D42" s="192">
        <v>0</v>
      </c>
      <c r="E42" s="194">
        <f t="shared" si="1"/>
        <v>1</v>
      </c>
      <c r="F42" s="84">
        <v>34.65</v>
      </c>
      <c r="G42" s="75">
        <f t="shared" si="2"/>
        <v>34.65</v>
      </c>
    </row>
    <row r="43" spans="1:7" ht="28.8">
      <c r="A43" s="48">
        <v>14</v>
      </c>
      <c r="B43" s="191" t="s">
        <v>181</v>
      </c>
      <c r="C43" s="192">
        <v>1</v>
      </c>
      <c r="D43" s="192">
        <v>1</v>
      </c>
      <c r="E43" s="194">
        <f t="shared" si="1"/>
        <v>2</v>
      </c>
      <c r="F43" s="84">
        <v>27.33</v>
      </c>
      <c r="G43" s="75">
        <f t="shared" si="2"/>
        <v>54.66</v>
      </c>
    </row>
    <row r="44" spans="1:7" ht="28.8">
      <c r="A44" s="48">
        <v>15</v>
      </c>
      <c r="B44" s="191" t="s">
        <v>182</v>
      </c>
      <c r="C44" s="192">
        <v>1</v>
      </c>
      <c r="D44" s="192">
        <v>1</v>
      </c>
      <c r="E44" s="194">
        <f t="shared" si="1"/>
        <v>2</v>
      </c>
      <c r="F44" s="84">
        <v>412.67</v>
      </c>
      <c r="G44" s="75">
        <f t="shared" si="2"/>
        <v>825.34</v>
      </c>
    </row>
    <row r="45" spans="1:7">
      <c r="A45" s="87">
        <v>16</v>
      </c>
      <c r="B45" s="191" t="s">
        <v>441</v>
      </c>
      <c r="C45" s="192">
        <v>1</v>
      </c>
      <c r="D45" s="192">
        <v>1</v>
      </c>
      <c r="E45" s="194">
        <f t="shared" si="1"/>
        <v>2</v>
      </c>
      <c r="F45" s="262">
        <v>422.36</v>
      </c>
      <c r="G45" s="263">
        <f t="shared" si="2"/>
        <v>844.72</v>
      </c>
    </row>
    <row r="46" spans="1:7">
      <c r="A46" s="48">
        <v>17</v>
      </c>
      <c r="B46" s="191" t="s">
        <v>183</v>
      </c>
      <c r="C46" s="192">
        <v>1</v>
      </c>
      <c r="D46" s="192">
        <v>1</v>
      </c>
      <c r="E46" s="194">
        <f t="shared" si="1"/>
        <v>2</v>
      </c>
      <c r="F46" s="84">
        <v>115.5</v>
      </c>
      <c r="G46" s="75">
        <f t="shared" si="2"/>
        <v>231</v>
      </c>
    </row>
    <row r="47" spans="1:7">
      <c r="A47" s="296" t="s">
        <v>164</v>
      </c>
      <c r="B47" s="297"/>
      <c r="C47" s="297"/>
      <c r="D47" s="297"/>
      <c r="E47" s="297"/>
      <c r="F47" s="297"/>
      <c r="G47" s="76">
        <f>SUM(G30:G46)</f>
        <v>2360.12</v>
      </c>
    </row>
    <row r="48" spans="1:7">
      <c r="A48" s="296" t="s">
        <v>214</v>
      </c>
      <c r="B48" s="297"/>
      <c r="C48" s="297"/>
      <c r="D48" s="297"/>
      <c r="E48" s="297"/>
      <c r="F48" s="297"/>
      <c r="G48" s="76">
        <f>G47/12</f>
        <v>196.67666666666665</v>
      </c>
    </row>
    <row r="49" spans="1:7" ht="15" thickBot="1">
      <c r="A49" s="298" t="s">
        <v>215</v>
      </c>
      <c r="B49" s="299"/>
      <c r="C49" s="299"/>
      <c r="D49" s="299"/>
      <c r="E49" s="299"/>
      <c r="F49" s="299"/>
      <c r="G49" s="77">
        <f>G48+F27</f>
        <v>257.2283333333333</v>
      </c>
    </row>
    <row r="51" spans="1:7">
      <c r="A51" s="289" t="s">
        <v>419</v>
      </c>
      <c r="B51" s="290"/>
      <c r="C51" s="290"/>
      <c r="D51" s="290"/>
      <c r="E51" s="290"/>
      <c r="F51" s="291"/>
    </row>
    <row r="52" spans="1:7">
      <c r="A52" s="292" t="s">
        <v>190</v>
      </c>
      <c r="B52" s="293" t="s">
        <v>191</v>
      </c>
      <c r="C52" s="293" t="s">
        <v>192</v>
      </c>
      <c r="D52" s="293" t="s">
        <v>193</v>
      </c>
      <c r="E52" s="294" t="s">
        <v>194</v>
      </c>
      <c r="F52" s="295" t="s">
        <v>195</v>
      </c>
    </row>
    <row r="53" spans="1:7" ht="38.25" customHeight="1">
      <c r="A53" s="292"/>
      <c r="B53" s="293"/>
      <c r="C53" s="293"/>
      <c r="D53" s="293"/>
      <c r="E53" s="294"/>
      <c r="F53" s="295"/>
    </row>
    <row r="54" spans="1:7">
      <c r="A54" s="92">
        <v>2</v>
      </c>
      <c r="B54" s="93">
        <v>13</v>
      </c>
      <c r="C54" s="94">
        <v>3000</v>
      </c>
      <c r="D54" s="95">
        <v>5.25</v>
      </c>
      <c r="E54" s="96">
        <f>4000/B54</f>
        <v>307.69230769230768</v>
      </c>
      <c r="F54" s="146">
        <f>E54*D54</f>
        <v>1615.3846153846152</v>
      </c>
    </row>
    <row r="55" spans="1:7">
      <c r="A55" s="97"/>
      <c r="B55" s="98"/>
      <c r="C55" s="40"/>
      <c r="D55" s="40"/>
      <c r="E55" s="40"/>
      <c r="F55" s="99"/>
    </row>
    <row r="56" spans="1:7" ht="27.6">
      <c r="A56" s="283" t="s">
        <v>445</v>
      </c>
      <c r="B56" s="284"/>
      <c r="C56" s="284"/>
      <c r="D56" s="284"/>
      <c r="E56" s="256" t="s">
        <v>196</v>
      </c>
      <c r="F56" s="100" t="s">
        <v>197</v>
      </c>
    </row>
    <row r="57" spans="1:7" ht="30" customHeight="1">
      <c r="A57" s="283"/>
      <c r="B57" s="284"/>
      <c r="C57" s="284"/>
      <c r="D57" s="284"/>
      <c r="E57" s="101">
        <f>F54</f>
        <v>1615.3846153846152</v>
      </c>
      <c r="F57" s="102">
        <f>E57*12</f>
        <v>19384.615384615383</v>
      </c>
    </row>
    <row r="58" spans="1:7">
      <c r="A58" s="285" t="s">
        <v>359</v>
      </c>
      <c r="B58" s="285"/>
      <c r="C58" s="285"/>
      <c r="D58" s="285"/>
      <c r="E58" s="133">
        <f>E57/15</f>
        <v>107.69230769230768</v>
      </c>
      <c r="F58" s="134">
        <f>12*E58</f>
        <v>1292.3076923076922</v>
      </c>
    </row>
    <row r="59" spans="1:7" ht="15" thickBot="1">
      <c r="A59" s="286" t="s">
        <v>233</v>
      </c>
      <c r="B59" s="287"/>
      <c r="C59" s="287"/>
      <c r="D59" s="287"/>
      <c r="E59" s="287"/>
      <c r="F59" s="288"/>
    </row>
  </sheetData>
  <mergeCells count="38">
    <mergeCell ref="A4:G4"/>
    <mergeCell ref="A1:G1"/>
    <mergeCell ref="A2:G2"/>
    <mergeCell ref="A6:G6"/>
    <mergeCell ref="A7:A8"/>
    <mergeCell ref="B7:B8"/>
    <mergeCell ref="C7:C8"/>
    <mergeCell ref="D7:D8"/>
    <mergeCell ref="E7:F7"/>
    <mergeCell ref="G7:G8"/>
    <mergeCell ref="A5:G5"/>
    <mergeCell ref="A26:E26"/>
    <mergeCell ref="A28:G28"/>
    <mergeCell ref="A27:E27"/>
    <mergeCell ref="A14:E14"/>
    <mergeCell ref="A15:E15"/>
    <mergeCell ref="A18:A19"/>
    <mergeCell ref="B18:B19"/>
    <mergeCell ref="C18:C19"/>
    <mergeCell ref="D18:D19"/>
    <mergeCell ref="E18:F18"/>
    <mergeCell ref="A17:G17"/>
    <mergeCell ref="G9:G13"/>
    <mergeCell ref="A56:D57"/>
    <mergeCell ref="A58:D58"/>
    <mergeCell ref="A59:F59"/>
    <mergeCell ref="A51:F51"/>
    <mergeCell ref="A52:A53"/>
    <mergeCell ref="B52:B53"/>
    <mergeCell ref="C52:C53"/>
    <mergeCell ref="D52:D53"/>
    <mergeCell ref="E52:E53"/>
    <mergeCell ref="F52:F53"/>
    <mergeCell ref="A47:F47"/>
    <mergeCell ref="A48:F48"/>
    <mergeCell ref="A49:F49"/>
    <mergeCell ref="G18:G19"/>
    <mergeCell ref="G20:G25"/>
  </mergeCells>
  <pageMargins left="0.511811024" right="0.511811024" top="0.78740157499999996" bottom="0.78740157499999996" header="0.31496062000000002" footer="0.31496062000000002"/>
  <pageSetup paperSize="9" scale="82" orientation="portrait" r:id="rId1"/>
  <headerFooter>
    <oddHeader>&amp;L&amp;G&amp;CProcesso 23069.152417/2023-62
PE 25/2023&amp;R&amp;G</oddHeader>
    <oddFooter>&amp;L&amp;"-,Itálico"&amp;9&amp;A&amp;R&amp;"-,Itálico"&amp;9Página &amp;P de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4"/>
  <sheetViews>
    <sheetView topLeftCell="A64" zoomScale="90" zoomScaleNormal="90" workbookViewId="0">
      <selection activeCell="A5" sqref="A5:G5"/>
    </sheetView>
  </sheetViews>
  <sheetFormatPr defaultColWidth="8.88671875" defaultRowHeight="14.4"/>
  <cols>
    <col min="1" max="1" width="8.44140625" bestFit="1" customWidth="1"/>
    <col min="2" max="2" width="58.5546875" style="45" customWidth="1"/>
    <col min="3" max="3" width="9.88671875" customWidth="1"/>
    <col min="4" max="4" width="15" bestFit="1" customWidth="1"/>
    <col min="5" max="5" width="14.6640625" bestFit="1" customWidth="1"/>
  </cols>
  <sheetData>
    <row r="1" spans="1:5" ht="18.75" customHeight="1">
      <c r="A1" s="322" t="s">
        <v>0</v>
      </c>
      <c r="B1" s="322"/>
      <c r="C1" s="322"/>
      <c r="D1" s="322"/>
      <c r="E1" s="322"/>
    </row>
    <row r="2" spans="1:5" ht="15.6">
      <c r="A2" s="323" t="s">
        <v>1</v>
      </c>
      <c r="B2" s="323"/>
      <c r="C2" s="323"/>
      <c r="D2" s="323"/>
      <c r="E2" s="323"/>
    </row>
    <row r="4" spans="1:5" ht="15" customHeight="1">
      <c r="A4" s="272" t="s">
        <v>217</v>
      </c>
      <c r="B4" s="272"/>
      <c r="C4" s="272"/>
      <c r="D4" s="272"/>
      <c r="E4" s="272"/>
    </row>
    <row r="5" spans="1:5" ht="47.25" customHeight="1">
      <c r="A5" s="324" t="s">
        <v>223</v>
      </c>
      <c r="B5" s="324"/>
      <c r="C5" s="324"/>
      <c r="D5" s="324"/>
      <c r="E5" s="324"/>
    </row>
    <row r="6" spans="1:5" ht="16.2" thickBot="1">
      <c r="A6" s="321"/>
      <c r="B6" s="321"/>
      <c r="C6" s="321"/>
      <c r="D6" s="321"/>
      <c r="E6" s="321"/>
    </row>
    <row r="7" spans="1:5" ht="27.6">
      <c r="A7" s="49" t="s">
        <v>4</v>
      </c>
      <c r="B7" s="50" t="s">
        <v>184</v>
      </c>
      <c r="C7" s="50" t="s">
        <v>185</v>
      </c>
      <c r="D7" s="50" t="s">
        <v>186</v>
      </c>
      <c r="E7" s="51" t="s">
        <v>187</v>
      </c>
    </row>
    <row r="8" spans="1:5">
      <c r="A8" s="184">
        <v>1</v>
      </c>
      <c r="B8" s="190" t="s">
        <v>284</v>
      </c>
      <c r="C8" s="182">
        <v>9</v>
      </c>
      <c r="D8" s="183">
        <v>4.8899999999999997</v>
      </c>
      <c r="E8" s="185">
        <f>D8*C8</f>
        <v>44.01</v>
      </c>
    </row>
    <row r="9" spans="1:5">
      <c r="A9" s="184">
        <v>2</v>
      </c>
      <c r="B9" s="190" t="s">
        <v>285</v>
      </c>
      <c r="C9" s="182">
        <v>9</v>
      </c>
      <c r="D9" s="183">
        <v>8.5399999999999991</v>
      </c>
      <c r="E9" s="185">
        <f t="shared" ref="E9:E64" si="0">D9*C9</f>
        <v>76.859999999999985</v>
      </c>
    </row>
    <row r="10" spans="1:5">
      <c r="A10" s="184">
        <v>3</v>
      </c>
      <c r="B10" s="190" t="s">
        <v>286</v>
      </c>
      <c r="C10" s="182">
        <v>9</v>
      </c>
      <c r="D10" s="183">
        <v>10.27</v>
      </c>
      <c r="E10" s="185">
        <f t="shared" si="0"/>
        <v>92.429999999999993</v>
      </c>
    </row>
    <row r="11" spans="1:5">
      <c r="A11" s="184">
        <v>4</v>
      </c>
      <c r="B11" s="190" t="s">
        <v>287</v>
      </c>
      <c r="C11" s="182">
        <v>9</v>
      </c>
      <c r="D11" s="183">
        <v>3.75</v>
      </c>
      <c r="E11" s="185">
        <f t="shared" si="0"/>
        <v>33.75</v>
      </c>
    </row>
    <row r="12" spans="1:5">
      <c r="A12" s="184">
        <v>5</v>
      </c>
      <c r="B12" s="190" t="s">
        <v>288</v>
      </c>
      <c r="C12" s="182">
        <v>9</v>
      </c>
      <c r="D12" s="183">
        <v>4.82</v>
      </c>
      <c r="E12" s="185">
        <f t="shared" si="0"/>
        <v>43.38</v>
      </c>
    </row>
    <row r="13" spans="1:5">
      <c r="A13" s="184">
        <v>6</v>
      </c>
      <c r="B13" s="190" t="s">
        <v>289</v>
      </c>
      <c r="C13" s="182">
        <v>9</v>
      </c>
      <c r="D13" s="183">
        <v>7.93</v>
      </c>
      <c r="E13" s="185">
        <f t="shared" si="0"/>
        <v>71.37</v>
      </c>
    </row>
    <row r="14" spans="1:5">
      <c r="A14" s="184">
        <v>7</v>
      </c>
      <c r="B14" s="190" t="s">
        <v>290</v>
      </c>
      <c r="C14" s="182">
        <v>9</v>
      </c>
      <c r="D14" s="183">
        <v>13.43</v>
      </c>
      <c r="E14" s="185">
        <f t="shared" si="0"/>
        <v>120.87</v>
      </c>
    </row>
    <row r="15" spans="1:5">
      <c r="A15" s="184">
        <v>8</v>
      </c>
      <c r="B15" s="190" t="s">
        <v>291</v>
      </c>
      <c r="C15" s="182">
        <v>9</v>
      </c>
      <c r="D15" s="183">
        <v>13.43</v>
      </c>
      <c r="E15" s="185">
        <f t="shared" si="0"/>
        <v>120.87</v>
      </c>
    </row>
    <row r="16" spans="1:5">
      <c r="A16" s="184">
        <v>9</v>
      </c>
      <c r="B16" s="190" t="s">
        <v>292</v>
      </c>
      <c r="C16" s="182">
        <v>9</v>
      </c>
      <c r="D16" s="183">
        <v>30.57</v>
      </c>
      <c r="E16" s="185">
        <f t="shared" si="0"/>
        <v>275.13</v>
      </c>
    </row>
    <row r="17" spans="1:5">
      <c r="A17" s="184">
        <v>10</v>
      </c>
      <c r="B17" s="190" t="s">
        <v>293</v>
      </c>
      <c r="C17" s="182">
        <v>9</v>
      </c>
      <c r="D17" s="183">
        <v>30.57</v>
      </c>
      <c r="E17" s="185">
        <f t="shared" si="0"/>
        <v>275.13</v>
      </c>
    </row>
    <row r="18" spans="1:5">
      <c r="A18" s="184">
        <v>11</v>
      </c>
      <c r="B18" s="190" t="s">
        <v>294</v>
      </c>
      <c r="C18" s="182">
        <v>9</v>
      </c>
      <c r="D18" s="183">
        <v>30.57</v>
      </c>
      <c r="E18" s="185">
        <f t="shared" si="0"/>
        <v>275.13</v>
      </c>
    </row>
    <row r="19" spans="1:5">
      <c r="A19" s="184">
        <v>12</v>
      </c>
      <c r="B19" s="190" t="s">
        <v>295</v>
      </c>
      <c r="C19" s="182">
        <v>9</v>
      </c>
      <c r="D19" s="183">
        <v>22.79</v>
      </c>
      <c r="E19" s="185">
        <f t="shared" si="0"/>
        <v>205.10999999999999</v>
      </c>
    </row>
    <row r="20" spans="1:5">
      <c r="A20" s="184">
        <v>13</v>
      </c>
      <c r="B20" s="190" t="s">
        <v>296</v>
      </c>
      <c r="C20" s="182">
        <v>9</v>
      </c>
      <c r="D20" s="183">
        <v>27.41</v>
      </c>
      <c r="E20" s="185">
        <f t="shared" si="0"/>
        <v>246.69</v>
      </c>
    </row>
    <row r="21" spans="1:5">
      <c r="A21" s="184">
        <v>14</v>
      </c>
      <c r="B21" s="190" t="s">
        <v>297</v>
      </c>
      <c r="C21" s="182">
        <v>9</v>
      </c>
      <c r="D21" s="183">
        <v>41.37</v>
      </c>
      <c r="E21" s="185">
        <f t="shared" si="0"/>
        <v>372.33</v>
      </c>
    </row>
    <row r="22" spans="1:5">
      <c r="A22" s="184">
        <v>15</v>
      </c>
      <c r="B22" s="190" t="s">
        <v>298</v>
      </c>
      <c r="C22" s="182">
        <v>9</v>
      </c>
      <c r="D22" s="183">
        <v>26.57</v>
      </c>
      <c r="E22" s="185">
        <f t="shared" si="0"/>
        <v>239.13</v>
      </c>
    </row>
    <row r="23" spans="1:5">
      <c r="A23" s="184">
        <v>16</v>
      </c>
      <c r="B23" s="190" t="s">
        <v>299</v>
      </c>
      <c r="C23" s="182">
        <v>9</v>
      </c>
      <c r="D23" s="183">
        <v>131.31</v>
      </c>
      <c r="E23" s="185">
        <f t="shared" si="0"/>
        <v>1181.79</v>
      </c>
    </row>
    <row r="24" spans="1:5">
      <c r="A24" s="184">
        <v>17</v>
      </c>
      <c r="B24" s="190" t="s">
        <v>300</v>
      </c>
      <c r="C24" s="182">
        <v>9</v>
      </c>
      <c r="D24" s="183">
        <v>147.79</v>
      </c>
      <c r="E24" s="185">
        <f t="shared" si="0"/>
        <v>1330.11</v>
      </c>
    </row>
    <row r="25" spans="1:5">
      <c r="A25" s="184">
        <v>18</v>
      </c>
      <c r="B25" s="190" t="s">
        <v>301</v>
      </c>
      <c r="C25" s="182">
        <v>9</v>
      </c>
      <c r="D25" s="183">
        <v>22.58</v>
      </c>
      <c r="E25" s="185">
        <f t="shared" si="0"/>
        <v>203.21999999999997</v>
      </c>
    </row>
    <row r="26" spans="1:5">
      <c r="A26" s="184">
        <v>19</v>
      </c>
      <c r="B26" s="190" t="s">
        <v>302</v>
      </c>
      <c r="C26" s="182">
        <v>9</v>
      </c>
      <c r="D26" s="183">
        <v>25.92</v>
      </c>
      <c r="E26" s="185">
        <f t="shared" si="0"/>
        <v>233.28000000000003</v>
      </c>
    </row>
    <row r="27" spans="1:5">
      <c r="A27" s="184">
        <v>20</v>
      </c>
      <c r="B27" s="190" t="s">
        <v>303</v>
      </c>
      <c r="C27" s="182">
        <v>9</v>
      </c>
      <c r="D27" s="183">
        <v>32.520000000000003</v>
      </c>
      <c r="E27" s="185">
        <f t="shared" si="0"/>
        <v>292.68</v>
      </c>
    </row>
    <row r="28" spans="1:5">
      <c r="A28" s="184">
        <v>21</v>
      </c>
      <c r="B28" s="190" t="s">
        <v>304</v>
      </c>
      <c r="C28" s="182">
        <v>9</v>
      </c>
      <c r="D28" s="183">
        <v>300.08999999999997</v>
      </c>
      <c r="E28" s="185">
        <f t="shared" si="0"/>
        <v>2700.81</v>
      </c>
    </row>
    <row r="29" spans="1:5">
      <c r="A29" s="184">
        <v>22</v>
      </c>
      <c r="B29" s="190" t="s">
        <v>305</v>
      </c>
      <c r="C29" s="182">
        <v>9</v>
      </c>
      <c r="D29" s="183">
        <v>300.08999999999997</v>
      </c>
      <c r="E29" s="185">
        <f t="shared" si="0"/>
        <v>2700.81</v>
      </c>
    </row>
    <row r="30" spans="1:5">
      <c r="A30" s="184">
        <v>23</v>
      </c>
      <c r="B30" s="190" t="s">
        <v>306</v>
      </c>
      <c r="C30" s="182">
        <v>9</v>
      </c>
      <c r="D30" s="183">
        <v>17.899999999999999</v>
      </c>
      <c r="E30" s="185">
        <f t="shared" si="0"/>
        <v>161.1</v>
      </c>
    </row>
    <row r="31" spans="1:5">
      <c r="A31" s="184">
        <v>24</v>
      </c>
      <c r="B31" s="190" t="s">
        <v>307</v>
      </c>
      <c r="C31" s="182">
        <v>9</v>
      </c>
      <c r="D31" s="183">
        <v>12.15</v>
      </c>
      <c r="E31" s="185">
        <f t="shared" si="0"/>
        <v>109.35000000000001</v>
      </c>
    </row>
    <row r="32" spans="1:5">
      <c r="A32" s="184">
        <v>25</v>
      </c>
      <c r="B32" s="190" t="s">
        <v>308</v>
      </c>
      <c r="C32" s="182">
        <v>9</v>
      </c>
      <c r="D32" s="183">
        <v>20.49</v>
      </c>
      <c r="E32" s="185">
        <f t="shared" si="0"/>
        <v>184.41</v>
      </c>
    </row>
    <row r="33" spans="1:5">
      <c r="A33" s="184">
        <v>26</v>
      </c>
      <c r="B33" s="190" t="s">
        <v>309</v>
      </c>
      <c r="C33" s="182">
        <v>9</v>
      </c>
      <c r="D33" s="183">
        <v>200.16</v>
      </c>
      <c r="E33" s="185">
        <f t="shared" si="0"/>
        <v>1801.44</v>
      </c>
    </row>
    <row r="34" spans="1:5">
      <c r="A34" s="184">
        <v>27</v>
      </c>
      <c r="B34" s="190" t="s">
        <v>310</v>
      </c>
      <c r="C34" s="182">
        <v>9</v>
      </c>
      <c r="D34" s="183">
        <v>37.18</v>
      </c>
      <c r="E34" s="185">
        <f t="shared" si="0"/>
        <v>334.62</v>
      </c>
    </row>
    <row r="35" spans="1:5">
      <c r="A35" s="184">
        <v>28</v>
      </c>
      <c r="B35" s="190" t="s">
        <v>311</v>
      </c>
      <c r="C35" s="182">
        <v>9</v>
      </c>
      <c r="D35" s="183">
        <v>371.67</v>
      </c>
      <c r="E35" s="185">
        <f t="shared" si="0"/>
        <v>3345.03</v>
      </c>
    </row>
    <row r="36" spans="1:5">
      <c r="A36" s="184">
        <v>29</v>
      </c>
      <c r="B36" s="190" t="s">
        <v>312</v>
      </c>
      <c r="C36" s="182">
        <v>9</v>
      </c>
      <c r="D36" s="183">
        <v>257.67</v>
      </c>
      <c r="E36" s="185">
        <f t="shared" si="0"/>
        <v>2319.0300000000002</v>
      </c>
    </row>
    <row r="37" spans="1:5">
      <c r="A37" s="184">
        <v>30</v>
      </c>
      <c r="B37" s="190" t="s">
        <v>313</v>
      </c>
      <c r="C37" s="182">
        <v>9</v>
      </c>
      <c r="D37" s="183">
        <v>56.97</v>
      </c>
      <c r="E37" s="185">
        <f t="shared" si="0"/>
        <v>512.73</v>
      </c>
    </row>
    <row r="38" spans="1:5">
      <c r="A38" s="184">
        <v>31</v>
      </c>
      <c r="B38" s="190" t="s">
        <v>314</v>
      </c>
      <c r="C38" s="182">
        <v>9</v>
      </c>
      <c r="D38" s="183">
        <v>26.27</v>
      </c>
      <c r="E38" s="185">
        <f t="shared" si="0"/>
        <v>236.43</v>
      </c>
    </row>
    <row r="39" spans="1:5">
      <c r="A39" s="184">
        <v>32</v>
      </c>
      <c r="B39" s="190" t="s">
        <v>315</v>
      </c>
      <c r="C39" s="182">
        <v>9</v>
      </c>
      <c r="D39" s="183">
        <v>41.08</v>
      </c>
      <c r="E39" s="185">
        <f t="shared" si="0"/>
        <v>369.71999999999997</v>
      </c>
    </row>
    <row r="40" spans="1:5">
      <c r="A40" s="184">
        <v>33</v>
      </c>
      <c r="B40" s="190" t="s">
        <v>316</v>
      </c>
      <c r="C40" s="182">
        <v>9</v>
      </c>
      <c r="D40" s="183">
        <v>118.34</v>
      </c>
      <c r="E40" s="185">
        <f t="shared" si="0"/>
        <v>1065.06</v>
      </c>
    </row>
    <row r="41" spans="1:5">
      <c r="A41" s="184">
        <v>34</v>
      </c>
      <c r="B41" s="190" t="s">
        <v>317</v>
      </c>
      <c r="C41" s="182">
        <v>5</v>
      </c>
      <c r="D41" s="183">
        <v>713.2</v>
      </c>
      <c r="E41" s="185">
        <f t="shared" si="0"/>
        <v>3566</v>
      </c>
    </row>
    <row r="42" spans="1:5">
      <c r="A42" s="184">
        <v>35</v>
      </c>
      <c r="B42" s="190" t="s">
        <v>318</v>
      </c>
      <c r="C42" s="182">
        <v>9</v>
      </c>
      <c r="D42" s="183">
        <v>24.84</v>
      </c>
      <c r="E42" s="185">
        <f t="shared" si="0"/>
        <v>223.56</v>
      </c>
    </row>
    <row r="43" spans="1:5" ht="15.6">
      <c r="A43" s="184">
        <v>36</v>
      </c>
      <c r="B43" s="190" t="s">
        <v>319</v>
      </c>
      <c r="C43" s="189">
        <v>5</v>
      </c>
      <c r="D43" s="183">
        <v>223</v>
      </c>
      <c r="E43" s="185">
        <f t="shared" si="0"/>
        <v>1115</v>
      </c>
    </row>
    <row r="44" spans="1:5" ht="15.6">
      <c r="A44" s="184">
        <v>37</v>
      </c>
      <c r="B44" s="190" t="s">
        <v>320</v>
      </c>
      <c r="C44" s="189">
        <v>5</v>
      </c>
      <c r="D44" s="183">
        <v>27.89</v>
      </c>
      <c r="E44" s="185">
        <f t="shared" si="0"/>
        <v>139.44999999999999</v>
      </c>
    </row>
    <row r="45" spans="1:5" ht="15.6">
      <c r="A45" s="184">
        <v>38</v>
      </c>
      <c r="B45" s="190" t="s">
        <v>321</v>
      </c>
      <c r="C45" s="189">
        <v>3</v>
      </c>
      <c r="D45" s="183">
        <v>250.26</v>
      </c>
      <c r="E45" s="185">
        <f t="shared" si="0"/>
        <v>750.78</v>
      </c>
    </row>
    <row r="46" spans="1:5" ht="15.6">
      <c r="A46" s="184">
        <v>39</v>
      </c>
      <c r="B46" s="190" t="s">
        <v>322</v>
      </c>
      <c r="C46" s="189">
        <v>3</v>
      </c>
      <c r="D46" s="183">
        <v>808.2</v>
      </c>
      <c r="E46" s="185">
        <f t="shared" si="0"/>
        <v>2424.6000000000004</v>
      </c>
    </row>
    <row r="47" spans="1:5" ht="15.6">
      <c r="A47" s="184">
        <v>40</v>
      </c>
      <c r="B47" s="190" t="s">
        <v>323</v>
      </c>
      <c r="C47" s="189">
        <v>3</v>
      </c>
      <c r="D47" s="183">
        <v>216</v>
      </c>
      <c r="E47" s="185">
        <f t="shared" si="0"/>
        <v>648</v>
      </c>
    </row>
    <row r="48" spans="1:5">
      <c r="A48" s="184">
        <v>41</v>
      </c>
      <c r="B48" s="190" t="s">
        <v>324</v>
      </c>
      <c r="C48" s="182">
        <v>9</v>
      </c>
      <c r="D48" s="183">
        <v>19.63</v>
      </c>
      <c r="E48" s="185">
        <f t="shared" si="0"/>
        <v>176.67</v>
      </c>
    </row>
    <row r="49" spans="1:5">
      <c r="A49" s="184">
        <v>42</v>
      </c>
      <c r="B49" s="190" t="s">
        <v>188</v>
      </c>
      <c r="C49" s="182">
        <v>9</v>
      </c>
      <c r="D49" s="183">
        <v>68.38</v>
      </c>
      <c r="E49" s="185">
        <f t="shared" si="0"/>
        <v>615.41999999999996</v>
      </c>
    </row>
    <row r="50" spans="1:5">
      <c r="A50" s="184">
        <v>43</v>
      </c>
      <c r="B50" s="190" t="s">
        <v>325</v>
      </c>
      <c r="C50" s="182">
        <v>9</v>
      </c>
      <c r="D50" s="183">
        <v>35.51</v>
      </c>
      <c r="E50" s="185">
        <f t="shared" si="0"/>
        <v>319.58999999999997</v>
      </c>
    </row>
    <row r="51" spans="1:5">
      <c r="A51" s="184">
        <v>44</v>
      </c>
      <c r="B51" s="190" t="s">
        <v>326</v>
      </c>
      <c r="C51" s="182">
        <v>9</v>
      </c>
      <c r="D51" s="183">
        <v>298.45</v>
      </c>
      <c r="E51" s="185">
        <f t="shared" si="0"/>
        <v>2686.0499999999997</v>
      </c>
    </row>
    <row r="52" spans="1:5">
      <c r="A52" s="184">
        <v>45</v>
      </c>
      <c r="B52" s="190" t="s">
        <v>327</v>
      </c>
      <c r="C52" s="182">
        <v>9</v>
      </c>
      <c r="D52" s="183">
        <v>39.51</v>
      </c>
      <c r="E52" s="185">
        <f t="shared" si="0"/>
        <v>355.59</v>
      </c>
    </row>
    <row r="53" spans="1:5">
      <c r="A53" s="184">
        <v>46</v>
      </c>
      <c r="B53" s="190" t="s">
        <v>328</v>
      </c>
      <c r="C53" s="182">
        <v>9</v>
      </c>
      <c r="D53" s="183">
        <v>4.78</v>
      </c>
      <c r="E53" s="185">
        <f t="shared" si="0"/>
        <v>43.02</v>
      </c>
    </row>
    <row r="54" spans="1:5">
      <c r="A54" s="184">
        <v>47</v>
      </c>
      <c r="B54" s="190" t="s">
        <v>329</v>
      </c>
      <c r="C54" s="182">
        <v>9</v>
      </c>
      <c r="D54" s="183">
        <v>54.98</v>
      </c>
      <c r="E54" s="185">
        <f t="shared" si="0"/>
        <v>494.82</v>
      </c>
    </row>
    <row r="55" spans="1:5" ht="41.4">
      <c r="A55" s="184">
        <v>48</v>
      </c>
      <c r="B55" s="190" t="s">
        <v>342</v>
      </c>
      <c r="C55" s="182">
        <v>9</v>
      </c>
      <c r="D55" s="183">
        <v>35.17</v>
      </c>
      <c r="E55" s="185">
        <f t="shared" si="0"/>
        <v>316.53000000000003</v>
      </c>
    </row>
    <row r="56" spans="1:5">
      <c r="A56" s="184">
        <v>49</v>
      </c>
      <c r="B56" s="190" t="s">
        <v>330</v>
      </c>
      <c r="C56" s="182">
        <v>9</v>
      </c>
      <c r="D56" s="183">
        <v>26.81</v>
      </c>
      <c r="E56" s="185">
        <f t="shared" si="0"/>
        <v>241.29</v>
      </c>
    </row>
    <row r="57" spans="1:5">
      <c r="A57" s="184">
        <v>50</v>
      </c>
      <c r="B57" s="190" t="s">
        <v>331</v>
      </c>
      <c r="C57" s="182">
        <v>9</v>
      </c>
      <c r="D57" s="183">
        <v>18.38</v>
      </c>
      <c r="E57" s="185">
        <f t="shared" si="0"/>
        <v>165.42</v>
      </c>
    </row>
    <row r="58" spans="1:5" ht="15.6">
      <c r="A58" s="184">
        <v>51</v>
      </c>
      <c r="B58" s="190" t="s">
        <v>332</v>
      </c>
      <c r="C58" s="189">
        <v>3</v>
      </c>
      <c r="D58" s="183">
        <v>1061.75</v>
      </c>
      <c r="E58" s="185">
        <f t="shared" si="0"/>
        <v>3185.25</v>
      </c>
    </row>
    <row r="59" spans="1:5" ht="15.6">
      <c r="A59" s="184">
        <v>52</v>
      </c>
      <c r="B59" s="190" t="s">
        <v>341</v>
      </c>
      <c r="C59" s="189">
        <v>3</v>
      </c>
      <c r="D59" s="183">
        <v>1920.82</v>
      </c>
      <c r="E59" s="185">
        <f t="shared" si="0"/>
        <v>5762.46</v>
      </c>
    </row>
    <row r="60" spans="1:5" ht="15.6">
      <c r="A60" s="184">
        <v>53</v>
      </c>
      <c r="B60" s="190" t="s">
        <v>333</v>
      </c>
      <c r="C60" s="189">
        <v>5</v>
      </c>
      <c r="D60" s="183">
        <v>699</v>
      </c>
      <c r="E60" s="185">
        <f t="shared" si="0"/>
        <v>3495</v>
      </c>
    </row>
    <row r="61" spans="1:5" ht="52.5" customHeight="1">
      <c r="A61" s="184">
        <v>54</v>
      </c>
      <c r="B61" s="190" t="s">
        <v>340</v>
      </c>
      <c r="C61" s="182">
        <v>9</v>
      </c>
      <c r="D61" s="183">
        <v>171.65</v>
      </c>
      <c r="E61" s="185">
        <f t="shared" si="0"/>
        <v>1544.8500000000001</v>
      </c>
    </row>
    <row r="62" spans="1:5" ht="69">
      <c r="A62" s="184">
        <v>55</v>
      </c>
      <c r="B62" s="190" t="s">
        <v>339</v>
      </c>
      <c r="C62" s="182">
        <v>9</v>
      </c>
      <c r="D62" s="183">
        <v>167.71</v>
      </c>
      <c r="E62" s="185">
        <f t="shared" si="0"/>
        <v>1509.39</v>
      </c>
    </row>
    <row r="63" spans="1:5">
      <c r="A63" s="184">
        <v>56</v>
      </c>
      <c r="B63" s="190" t="s">
        <v>336</v>
      </c>
      <c r="C63" s="182">
        <v>2</v>
      </c>
      <c r="D63" s="183">
        <v>1509.67</v>
      </c>
      <c r="E63" s="185">
        <f t="shared" si="0"/>
        <v>3019.34</v>
      </c>
    </row>
    <row r="64" spans="1:5" ht="87" customHeight="1">
      <c r="A64" s="184">
        <v>58</v>
      </c>
      <c r="B64" s="190" t="s">
        <v>338</v>
      </c>
      <c r="C64" s="182">
        <v>2</v>
      </c>
      <c r="D64" s="183">
        <v>100589</v>
      </c>
      <c r="E64" s="185">
        <f t="shared" si="0"/>
        <v>201178</v>
      </c>
    </row>
    <row r="65" spans="1:5">
      <c r="A65" s="325" t="s">
        <v>30</v>
      </c>
      <c r="B65" s="326"/>
      <c r="C65" s="326"/>
      <c r="D65" s="326"/>
      <c r="E65" s="186">
        <f>SUM(E8:E64)</f>
        <v>255549.88999999998</v>
      </c>
    </row>
    <row r="66" spans="1:5" ht="31.5" customHeight="1">
      <c r="A66" s="316" t="s">
        <v>206</v>
      </c>
      <c r="B66" s="317"/>
      <c r="C66" s="317"/>
      <c r="D66" s="317"/>
      <c r="E66" s="187">
        <v>0.2</v>
      </c>
    </row>
    <row r="67" spans="1:5">
      <c r="A67" s="316" t="s">
        <v>189</v>
      </c>
      <c r="B67" s="317"/>
      <c r="C67" s="317"/>
      <c r="D67" s="317"/>
      <c r="E67" s="188">
        <f>ROUND(E65*E66,2)</f>
        <v>51109.98</v>
      </c>
    </row>
    <row r="68" spans="1:5" ht="15" thickBot="1">
      <c r="A68" s="318" t="s">
        <v>357</v>
      </c>
      <c r="B68" s="319"/>
      <c r="C68" s="319"/>
      <c r="D68" s="319"/>
      <c r="E68" s="135">
        <f>E67/12</f>
        <v>4259.165</v>
      </c>
    </row>
    <row r="69" spans="1:5" ht="15" thickBot="1">
      <c r="A69" s="318" t="s">
        <v>358</v>
      </c>
      <c r="B69" s="319"/>
      <c r="C69" s="319"/>
      <c r="D69" s="319"/>
      <c r="E69" s="135">
        <f>E68/16</f>
        <v>266.1978125</v>
      </c>
    </row>
    <row r="70" spans="1:5">
      <c r="A70" s="38"/>
      <c r="B70" s="136"/>
      <c r="C70" s="38"/>
      <c r="D70" s="38"/>
      <c r="E70" s="38"/>
    </row>
    <row r="71" spans="1:5" ht="147.75" customHeight="1">
      <c r="A71" s="320" t="s">
        <v>337</v>
      </c>
      <c r="B71" s="320"/>
      <c r="C71" s="320"/>
      <c r="D71" s="320"/>
      <c r="E71" s="320"/>
    </row>
    <row r="72" spans="1:5">
      <c r="A72" s="41"/>
      <c r="B72" s="41"/>
      <c r="C72" s="41"/>
      <c r="D72" s="41"/>
      <c r="E72" s="41"/>
    </row>
    <row r="73" spans="1:5" ht="15.6">
      <c r="A73" s="321"/>
      <c r="B73" s="321"/>
      <c r="C73" s="321"/>
      <c r="D73" s="321"/>
      <c r="E73" s="321"/>
    </row>
    <row r="74" spans="1:5">
      <c r="A74" s="90"/>
      <c r="B74" s="91"/>
      <c r="C74" s="91"/>
      <c r="D74" s="91"/>
      <c r="E74" s="39"/>
    </row>
  </sheetData>
  <mergeCells count="12">
    <mergeCell ref="A1:E1"/>
    <mergeCell ref="A2:E2"/>
    <mergeCell ref="A4:E4"/>
    <mergeCell ref="A5:E5"/>
    <mergeCell ref="A65:D65"/>
    <mergeCell ref="A6:E6"/>
    <mergeCell ref="A66:D66"/>
    <mergeCell ref="A67:D67"/>
    <mergeCell ref="A69:D69"/>
    <mergeCell ref="A71:E71"/>
    <mergeCell ref="A73:E73"/>
    <mergeCell ref="A68:D68"/>
  </mergeCells>
  <pageMargins left="0.511811024" right="0.511811024" top="0.78740157499999996" bottom="0.78740157499999996" header="0.31496062000000002" footer="0.31496062000000002"/>
  <pageSetup paperSize="9" scale="83" orientation="portrait" r:id="rId1"/>
  <headerFooter>
    <oddHeader>&amp;L&amp;G&amp;CProcesso 23069.152417/2023-62
PE 25/2023&amp;R&amp;G</oddHeader>
    <oddFooter>&amp;L&amp;"-,Itálico"&amp;9&amp;A&amp;R&amp;"-,Itálico"&amp;9Página &amp;P de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03644-400A-4FFC-9756-1782549142DB}">
  <dimension ref="A1:M150"/>
  <sheetViews>
    <sheetView topLeftCell="A6" zoomScaleNormal="100" zoomScaleSheetLayoutView="90" workbookViewId="0">
      <selection activeCell="A5" sqref="A5:H5"/>
    </sheetView>
  </sheetViews>
  <sheetFormatPr defaultColWidth="9" defaultRowHeight="14.4"/>
  <cols>
    <col min="1" max="1" width="5.44140625" bestFit="1" customWidth="1"/>
    <col min="2" max="2" width="10.6640625" style="45" bestFit="1" customWidth="1"/>
    <col min="3" max="3" width="11.109375" bestFit="1" customWidth="1"/>
    <col min="4" max="4" width="14.6640625" customWidth="1"/>
    <col min="5" max="5" width="10.44140625" customWidth="1"/>
    <col min="6" max="6" width="11.44140625" customWidth="1"/>
    <col min="7" max="7" width="10.44140625" customWidth="1"/>
    <col min="8" max="8" width="14.6640625" customWidth="1"/>
    <col min="10" max="10" width="14.109375" customWidth="1"/>
    <col min="11" max="11" width="12" customWidth="1"/>
    <col min="12" max="12" width="11.5546875" customWidth="1"/>
  </cols>
  <sheetData>
    <row r="1" spans="1:13" ht="18.75" customHeight="1">
      <c r="A1" s="276" t="s">
        <v>0</v>
      </c>
      <c r="B1" s="276"/>
      <c r="C1" s="276"/>
      <c r="D1" s="276"/>
      <c r="E1" s="276"/>
      <c r="F1" s="276"/>
      <c r="G1" s="276"/>
      <c r="H1" s="276"/>
      <c r="I1" s="5"/>
      <c r="J1" s="5"/>
      <c r="K1" s="5"/>
      <c r="L1" s="5"/>
      <c r="M1" s="5"/>
    </row>
    <row r="2" spans="1:13" ht="18">
      <c r="A2" s="271" t="s">
        <v>1</v>
      </c>
      <c r="B2" s="271"/>
      <c r="C2" s="271"/>
      <c r="D2" s="271"/>
      <c r="E2" s="271"/>
      <c r="F2" s="271"/>
      <c r="G2" s="271"/>
      <c r="H2" s="271"/>
      <c r="I2" s="6"/>
      <c r="J2" s="6"/>
      <c r="K2" s="6"/>
      <c r="L2" s="6"/>
      <c r="M2" s="6"/>
    </row>
    <row r="4" spans="1:13" ht="15" customHeight="1">
      <c r="A4" s="272" t="s">
        <v>240</v>
      </c>
      <c r="B4" s="272"/>
      <c r="C4" s="272"/>
      <c r="D4" s="272"/>
      <c r="E4" s="272"/>
      <c r="F4" s="272"/>
      <c r="G4" s="272"/>
      <c r="H4" s="272"/>
      <c r="I4" s="44"/>
      <c r="J4" s="44"/>
      <c r="K4" s="44"/>
      <c r="L4" s="44"/>
      <c r="M4" s="44"/>
    </row>
    <row r="5" spans="1:13" ht="53.25" customHeight="1">
      <c r="A5" s="329" t="s">
        <v>223</v>
      </c>
      <c r="B5" s="329"/>
      <c r="C5" s="329"/>
      <c r="D5" s="329"/>
      <c r="E5" s="329"/>
      <c r="F5" s="329"/>
      <c r="G5" s="329"/>
      <c r="H5" s="329"/>
      <c r="I5" s="8"/>
      <c r="J5" s="8"/>
      <c r="K5" s="8"/>
      <c r="L5" s="8"/>
      <c r="M5" s="8"/>
    </row>
    <row r="6" spans="1:13">
      <c r="A6" s="330" t="s">
        <v>241</v>
      </c>
      <c r="B6" s="330"/>
      <c r="C6" s="330"/>
      <c r="D6" s="330"/>
      <c r="E6" s="330"/>
      <c r="F6" s="330"/>
      <c r="G6" s="330"/>
      <c r="H6" s="330"/>
      <c r="I6" s="8"/>
      <c r="J6" s="8"/>
      <c r="K6" s="8"/>
      <c r="L6" s="8"/>
      <c r="M6" s="8"/>
    </row>
    <row r="7" spans="1:13" ht="36">
      <c r="A7" s="150" t="s">
        <v>4</v>
      </c>
      <c r="B7" s="151" t="s">
        <v>242</v>
      </c>
      <c r="C7" s="152" t="s">
        <v>243</v>
      </c>
      <c r="D7" s="153" t="s">
        <v>244</v>
      </c>
      <c r="E7" s="154" t="s">
        <v>245</v>
      </c>
      <c r="F7" s="155" t="s">
        <v>246</v>
      </c>
      <c r="G7" s="153" t="s">
        <v>247</v>
      </c>
      <c r="H7" s="155" t="s">
        <v>248</v>
      </c>
    </row>
    <row r="8" spans="1:13">
      <c r="A8" s="327" t="s">
        <v>249</v>
      </c>
      <c r="B8" s="327"/>
      <c r="C8" s="327"/>
      <c r="D8" s="327"/>
      <c r="E8" s="327"/>
      <c r="F8" s="327"/>
      <c r="G8" s="327"/>
      <c r="H8" s="327"/>
    </row>
    <row r="9" spans="1:13">
      <c r="A9" s="156">
        <v>1</v>
      </c>
      <c r="B9" s="255" t="s">
        <v>250</v>
      </c>
      <c r="C9" s="331" t="s">
        <v>251</v>
      </c>
      <c r="D9" s="157">
        <v>150</v>
      </c>
      <c r="E9" s="158" t="s">
        <v>252</v>
      </c>
      <c r="F9" s="159" t="s">
        <v>253</v>
      </c>
      <c r="G9" s="159" t="s">
        <v>253</v>
      </c>
      <c r="H9" s="160" t="s">
        <v>254</v>
      </c>
    </row>
    <row r="10" spans="1:13">
      <c r="A10" s="156">
        <v>2</v>
      </c>
      <c r="B10" s="255" t="s">
        <v>250</v>
      </c>
      <c r="C10" s="331"/>
      <c r="D10" s="157">
        <v>150</v>
      </c>
      <c r="E10" s="158" t="s">
        <v>252</v>
      </c>
      <c r="F10" s="159" t="s">
        <v>253</v>
      </c>
      <c r="G10" s="159" t="s">
        <v>253</v>
      </c>
      <c r="H10" s="160" t="s">
        <v>254</v>
      </c>
    </row>
    <row r="11" spans="1:13">
      <c r="A11" s="156">
        <v>3</v>
      </c>
      <c r="B11" s="255" t="s">
        <v>250</v>
      </c>
      <c r="C11" s="331"/>
      <c r="D11" s="157">
        <v>150</v>
      </c>
      <c r="E11" s="158" t="s">
        <v>252</v>
      </c>
      <c r="F11" s="159" t="s">
        <v>253</v>
      </c>
      <c r="G11" s="159" t="s">
        <v>255</v>
      </c>
      <c r="H11" s="160" t="s">
        <v>254</v>
      </c>
    </row>
    <row r="12" spans="1:13">
      <c r="A12" s="156">
        <v>4</v>
      </c>
      <c r="B12" s="255" t="s">
        <v>250</v>
      </c>
      <c r="C12" s="331"/>
      <c r="D12" s="157">
        <v>100</v>
      </c>
      <c r="E12" s="158" t="s">
        <v>252</v>
      </c>
      <c r="F12" s="159" t="s">
        <v>253</v>
      </c>
      <c r="G12" s="159" t="s">
        <v>255</v>
      </c>
      <c r="H12" s="160" t="s">
        <v>254</v>
      </c>
    </row>
    <row r="13" spans="1:13">
      <c r="A13" s="156">
        <v>5</v>
      </c>
      <c r="B13" s="255" t="s">
        <v>250</v>
      </c>
      <c r="C13" s="331"/>
      <c r="D13" s="157">
        <v>100</v>
      </c>
      <c r="E13" s="158" t="s">
        <v>252</v>
      </c>
      <c r="F13" s="159" t="s">
        <v>253</v>
      </c>
      <c r="G13" s="159" t="s">
        <v>255</v>
      </c>
      <c r="H13" s="160" t="s">
        <v>254</v>
      </c>
    </row>
    <row r="14" spans="1:13">
      <c r="A14" s="156">
        <v>6</v>
      </c>
      <c r="B14" s="255" t="s">
        <v>256</v>
      </c>
      <c r="C14" s="161" t="s">
        <v>257</v>
      </c>
      <c r="D14" s="157">
        <v>3</v>
      </c>
      <c r="E14" s="158" t="s">
        <v>258</v>
      </c>
      <c r="F14" s="159" t="s">
        <v>255</v>
      </c>
      <c r="G14" s="159" t="s">
        <v>253</v>
      </c>
      <c r="H14" s="160" t="s">
        <v>254</v>
      </c>
    </row>
    <row r="15" spans="1:13">
      <c r="A15" s="156">
        <v>7</v>
      </c>
      <c r="B15" s="255" t="s">
        <v>259</v>
      </c>
      <c r="C15" s="161" t="s">
        <v>251</v>
      </c>
      <c r="D15" s="157">
        <v>15</v>
      </c>
      <c r="E15" s="158" t="s">
        <v>252</v>
      </c>
      <c r="F15" s="159" t="s">
        <v>253</v>
      </c>
      <c r="G15" s="159" t="s">
        <v>253</v>
      </c>
      <c r="H15" s="160" t="s">
        <v>254</v>
      </c>
    </row>
    <row r="16" spans="1:13">
      <c r="A16" s="327" t="s">
        <v>260</v>
      </c>
      <c r="B16" s="327"/>
      <c r="C16" s="327"/>
      <c r="D16" s="327"/>
      <c r="E16" s="327"/>
      <c r="F16" s="327"/>
      <c r="G16" s="327"/>
      <c r="H16" s="327"/>
    </row>
    <row r="17" spans="1:8">
      <c r="A17" s="156">
        <v>1</v>
      </c>
      <c r="B17" s="255" t="s">
        <v>250</v>
      </c>
      <c r="C17" s="332" t="s">
        <v>251</v>
      </c>
      <c r="D17" s="157">
        <v>225</v>
      </c>
      <c r="E17" s="158" t="s">
        <v>252</v>
      </c>
      <c r="F17" s="159" t="s">
        <v>253</v>
      </c>
      <c r="G17" s="159" t="s">
        <v>253</v>
      </c>
      <c r="H17" s="160" t="s">
        <v>254</v>
      </c>
    </row>
    <row r="18" spans="1:8">
      <c r="A18" s="156">
        <v>2</v>
      </c>
      <c r="B18" s="255" t="s">
        <v>250</v>
      </c>
      <c r="C18" s="332"/>
      <c r="D18" s="157">
        <v>225</v>
      </c>
      <c r="E18" s="158" t="s">
        <v>252</v>
      </c>
      <c r="F18" s="159" t="s">
        <v>253</v>
      </c>
      <c r="G18" s="159" t="s">
        <v>255</v>
      </c>
      <c r="H18" s="160" t="s">
        <v>254</v>
      </c>
    </row>
    <row r="19" spans="1:8">
      <c r="A19" s="327" t="s">
        <v>261</v>
      </c>
      <c r="B19" s="327"/>
      <c r="C19" s="327"/>
      <c r="D19" s="327"/>
      <c r="E19" s="327"/>
      <c r="F19" s="327"/>
      <c r="G19" s="327"/>
      <c r="H19" s="327"/>
    </row>
    <row r="20" spans="1:8">
      <c r="A20" s="156">
        <v>1</v>
      </c>
      <c r="B20" s="255" t="s">
        <v>250</v>
      </c>
      <c r="C20" s="162" t="s">
        <v>262</v>
      </c>
      <c r="D20" s="157">
        <v>15</v>
      </c>
      <c r="E20" s="158" t="s">
        <v>252</v>
      </c>
      <c r="F20" s="159" t="s">
        <v>255</v>
      </c>
      <c r="G20" s="159" t="s">
        <v>253</v>
      </c>
      <c r="H20" s="160" t="s">
        <v>254</v>
      </c>
    </row>
    <row r="21" spans="1:8">
      <c r="A21" s="156">
        <v>2</v>
      </c>
      <c r="B21" s="255" t="s">
        <v>250</v>
      </c>
      <c r="C21" s="162" t="s">
        <v>262</v>
      </c>
      <c r="D21" s="157">
        <v>15</v>
      </c>
      <c r="E21" s="158" t="s">
        <v>252</v>
      </c>
      <c r="F21" s="159" t="s">
        <v>255</v>
      </c>
      <c r="G21" s="159" t="s">
        <v>253</v>
      </c>
      <c r="H21" s="160" t="s">
        <v>254</v>
      </c>
    </row>
    <row r="22" spans="1:8">
      <c r="A22" s="156">
        <v>3</v>
      </c>
      <c r="B22" s="255" t="s">
        <v>250</v>
      </c>
      <c r="C22" s="162" t="s">
        <v>262</v>
      </c>
      <c r="D22" s="157">
        <v>15</v>
      </c>
      <c r="E22" s="158" t="s">
        <v>252</v>
      </c>
      <c r="F22" s="159" t="s">
        <v>255</v>
      </c>
      <c r="G22" s="159" t="s">
        <v>253</v>
      </c>
      <c r="H22" s="160" t="s">
        <v>254</v>
      </c>
    </row>
    <row r="23" spans="1:8">
      <c r="A23" s="156">
        <v>4</v>
      </c>
      <c r="B23" s="255" t="s">
        <v>250</v>
      </c>
      <c r="C23" s="162" t="s">
        <v>262</v>
      </c>
      <c r="D23" s="157">
        <v>15</v>
      </c>
      <c r="E23" s="158" t="s">
        <v>252</v>
      </c>
      <c r="F23" s="159" t="s">
        <v>255</v>
      </c>
      <c r="G23" s="159" t="s">
        <v>253</v>
      </c>
      <c r="H23" s="160" t="s">
        <v>254</v>
      </c>
    </row>
    <row r="24" spans="1:8">
      <c r="A24" s="156">
        <v>5</v>
      </c>
      <c r="B24" s="255" t="s">
        <v>250</v>
      </c>
      <c r="C24" s="162" t="s">
        <v>262</v>
      </c>
      <c r="D24" s="157">
        <v>15</v>
      </c>
      <c r="E24" s="158" t="s">
        <v>252</v>
      </c>
      <c r="F24" s="159" t="s">
        <v>255</v>
      </c>
      <c r="G24" s="159" t="s">
        <v>253</v>
      </c>
      <c r="H24" s="160" t="s">
        <v>254</v>
      </c>
    </row>
    <row r="25" spans="1:8">
      <c r="A25" s="156">
        <v>6</v>
      </c>
      <c r="B25" s="255" t="s">
        <v>250</v>
      </c>
      <c r="C25" s="162" t="s">
        <v>262</v>
      </c>
      <c r="D25" s="157">
        <v>15</v>
      </c>
      <c r="E25" s="158" t="s">
        <v>252</v>
      </c>
      <c r="F25" s="159" t="s">
        <v>255</v>
      </c>
      <c r="G25" s="159" t="s">
        <v>253</v>
      </c>
      <c r="H25" s="160" t="s">
        <v>254</v>
      </c>
    </row>
    <row r="26" spans="1:8">
      <c r="A26" s="156">
        <v>7</v>
      </c>
      <c r="B26" s="255" t="s">
        <v>250</v>
      </c>
      <c r="C26" s="162" t="s">
        <v>262</v>
      </c>
      <c r="D26" s="157">
        <v>15</v>
      </c>
      <c r="E26" s="158" t="s">
        <v>252</v>
      </c>
      <c r="F26" s="159" t="s">
        <v>255</v>
      </c>
      <c r="G26" s="159" t="s">
        <v>253</v>
      </c>
      <c r="H26" s="160" t="s">
        <v>254</v>
      </c>
    </row>
    <row r="27" spans="1:8">
      <c r="A27" s="156">
        <v>8</v>
      </c>
      <c r="B27" s="255" t="s">
        <v>250</v>
      </c>
      <c r="C27" s="162" t="s">
        <v>262</v>
      </c>
      <c r="D27" s="157">
        <v>15</v>
      </c>
      <c r="E27" s="158" t="s">
        <v>252</v>
      </c>
      <c r="F27" s="159" t="s">
        <v>255</v>
      </c>
      <c r="G27" s="159" t="s">
        <v>253</v>
      </c>
      <c r="H27" s="160" t="s">
        <v>254</v>
      </c>
    </row>
    <row r="28" spans="1:8">
      <c r="A28" s="156">
        <v>9</v>
      </c>
      <c r="B28" s="255" t="s">
        <v>250</v>
      </c>
      <c r="C28" s="162" t="s">
        <v>262</v>
      </c>
      <c r="D28" s="157">
        <v>15</v>
      </c>
      <c r="E28" s="158" t="s">
        <v>252</v>
      </c>
      <c r="F28" s="159" t="s">
        <v>255</v>
      </c>
      <c r="G28" s="159" t="s">
        <v>253</v>
      </c>
      <c r="H28" s="160" t="s">
        <v>254</v>
      </c>
    </row>
    <row r="29" spans="1:8">
      <c r="A29" s="156">
        <v>10</v>
      </c>
      <c r="B29" s="255" t="s">
        <v>250</v>
      </c>
      <c r="C29" s="162" t="s">
        <v>262</v>
      </c>
      <c r="D29" s="157">
        <v>15</v>
      </c>
      <c r="E29" s="158" t="s">
        <v>252</v>
      </c>
      <c r="F29" s="159" t="s">
        <v>255</v>
      </c>
      <c r="G29" s="159" t="s">
        <v>253</v>
      </c>
      <c r="H29" s="160" t="s">
        <v>254</v>
      </c>
    </row>
    <row r="30" spans="1:8">
      <c r="A30" s="156">
        <v>11</v>
      </c>
      <c r="B30" s="255" t="s">
        <v>250</v>
      </c>
      <c r="C30" s="162" t="s">
        <v>262</v>
      </c>
      <c r="D30" s="157">
        <v>15</v>
      </c>
      <c r="E30" s="158" t="s">
        <v>252</v>
      </c>
      <c r="F30" s="159" t="s">
        <v>255</v>
      </c>
      <c r="G30" s="159" t="s">
        <v>253</v>
      </c>
      <c r="H30" s="160" t="s">
        <v>254</v>
      </c>
    </row>
    <row r="31" spans="1:8">
      <c r="A31" s="156">
        <v>12</v>
      </c>
      <c r="B31" s="255" t="s">
        <v>250</v>
      </c>
      <c r="C31" s="162" t="s">
        <v>262</v>
      </c>
      <c r="D31" s="157">
        <v>15</v>
      </c>
      <c r="E31" s="158" t="s">
        <v>252</v>
      </c>
      <c r="F31" s="159" t="s">
        <v>255</v>
      </c>
      <c r="G31" s="159" t="s">
        <v>255</v>
      </c>
      <c r="H31" s="160" t="s">
        <v>254</v>
      </c>
    </row>
    <row r="32" spans="1:8">
      <c r="A32" s="156">
        <v>13</v>
      </c>
      <c r="B32" s="255" t="s">
        <v>250</v>
      </c>
      <c r="C32" s="162" t="s">
        <v>262</v>
      </c>
      <c r="D32" s="157">
        <v>15</v>
      </c>
      <c r="E32" s="158" t="s">
        <v>252</v>
      </c>
      <c r="F32" s="159" t="s">
        <v>255</v>
      </c>
      <c r="G32" s="159" t="s">
        <v>255</v>
      </c>
      <c r="H32" s="160" t="s">
        <v>254</v>
      </c>
    </row>
    <row r="33" spans="1:8">
      <c r="A33" s="156">
        <v>14</v>
      </c>
      <c r="B33" s="255" t="s">
        <v>250</v>
      </c>
      <c r="C33" s="162" t="s">
        <v>262</v>
      </c>
      <c r="D33" s="157">
        <v>15</v>
      </c>
      <c r="E33" s="158" t="s">
        <v>252</v>
      </c>
      <c r="F33" s="159" t="s">
        <v>255</v>
      </c>
      <c r="G33" s="159" t="s">
        <v>255</v>
      </c>
      <c r="H33" s="160" t="s">
        <v>254</v>
      </c>
    </row>
    <row r="34" spans="1:8">
      <c r="A34" s="156">
        <v>15</v>
      </c>
      <c r="B34" s="255" t="s">
        <v>250</v>
      </c>
      <c r="C34" s="162" t="s">
        <v>262</v>
      </c>
      <c r="D34" s="157">
        <v>15</v>
      </c>
      <c r="E34" s="158" t="s">
        <v>252</v>
      </c>
      <c r="F34" s="159" t="s">
        <v>255</v>
      </c>
      <c r="G34" s="159" t="s">
        <v>255</v>
      </c>
      <c r="H34" s="160" t="s">
        <v>254</v>
      </c>
    </row>
    <row r="35" spans="1:8">
      <c r="A35" s="156">
        <v>16</v>
      </c>
      <c r="B35" s="255" t="s">
        <v>250</v>
      </c>
      <c r="C35" s="162" t="s">
        <v>262</v>
      </c>
      <c r="D35" s="157">
        <v>15</v>
      </c>
      <c r="E35" s="158" t="s">
        <v>252</v>
      </c>
      <c r="F35" s="159" t="s">
        <v>255</v>
      </c>
      <c r="G35" s="159" t="s">
        <v>255</v>
      </c>
      <c r="H35" s="160" t="s">
        <v>254</v>
      </c>
    </row>
    <row r="36" spans="1:8">
      <c r="A36" s="156">
        <v>17</v>
      </c>
      <c r="B36" s="255" t="s">
        <v>250</v>
      </c>
      <c r="C36" s="162" t="s">
        <v>262</v>
      </c>
      <c r="D36" s="157">
        <v>15</v>
      </c>
      <c r="E36" s="158" t="s">
        <v>252</v>
      </c>
      <c r="F36" s="159" t="s">
        <v>255</v>
      </c>
      <c r="G36" s="159" t="s">
        <v>255</v>
      </c>
      <c r="H36" s="160" t="s">
        <v>254</v>
      </c>
    </row>
    <row r="37" spans="1:8">
      <c r="A37" s="156">
        <v>18</v>
      </c>
      <c r="B37" s="255" t="s">
        <v>250</v>
      </c>
      <c r="C37" s="162" t="s">
        <v>262</v>
      </c>
      <c r="D37" s="157">
        <v>15</v>
      </c>
      <c r="E37" s="158" t="s">
        <v>252</v>
      </c>
      <c r="F37" s="159" t="s">
        <v>255</v>
      </c>
      <c r="G37" s="159" t="s">
        <v>255</v>
      </c>
      <c r="H37" s="160" t="s">
        <v>254</v>
      </c>
    </row>
    <row r="38" spans="1:8">
      <c r="A38" s="156">
        <v>19</v>
      </c>
      <c r="B38" s="255" t="s">
        <v>250</v>
      </c>
      <c r="C38" s="162" t="s">
        <v>262</v>
      </c>
      <c r="D38" s="157">
        <v>15</v>
      </c>
      <c r="E38" s="158" t="s">
        <v>252</v>
      </c>
      <c r="F38" s="159" t="s">
        <v>255</v>
      </c>
      <c r="G38" s="159" t="s">
        <v>255</v>
      </c>
      <c r="H38" s="160" t="s">
        <v>254</v>
      </c>
    </row>
    <row r="39" spans="1:8">
      <c r="A39" s="156">
        <v>20</v>
      </c>
      <c r="B39" s="255" t="s">
        <v>250</v>
      </c>
      <c r="C39" s="162" t="s">
        <v>262</v>
      </c>
      <c r="D39" s="157">
        <v>15</v>
      </c>
      <c r="E39" s="158" t="s">
        <v>252</v>
      </c>
      <c r="F39" s="159" t="s">
        <v>255</v>
      </c>
      <c r="G39" s="159" t="s">
        <v>255</v>
      </c>
      <c r="H39" s="160" t="s">
        <v>254</v>
      </c>
    </row>
    <row r="40" spans="1:8">
      <c r="A40" s="156">
        <v>21</v>
      </c>
      <c r="B40" s="255" t="s">
        <v>250</v>
      </c>
      <c r="C40" s="162" t="s">
        <v>262</v>
      </c>
      <c r="D40" s="157">
        <v>15</v>
      </c>
      <c r="E40" s="158" t="s">
        <v>252</v>
      </c>
      <c r="F40" s="159" t="s">
        <v>255</v>
      </c>
      <c r="G40" s="159" t="s">
        <v>255</v>
      </c>
      <c r="H40" s="160" t="s">
        <v>254</v>
      </c>
    </row>
    <row r="41" spans="1:8">
      <c r="A41" s="156">
        <v>22</v>
      </c>
      <c r="B41" s="255" t="s">
        <v>250</v>
      </c>
      <c r="C41" s="162" t="s">
        <v>262</v>
      </c>
      <c r="D41" s="157">
        <v>15</v>
      </c>
      <c r="E41" s="158" t="s">
        <v>252</v>
      </c>
      <c r="F41" s="159" t="s">
        <v>255</v>
      </c>
      <c r="G41" s="159" t="s">
        <v>255</v>
      </c>
      <c r="H41" s="160" t="s">
        <v>254</v>
      </c>
    </row>
    <row r="42" spans="1:8">
      <c r="A42" s="156">
        <v>23</v>
      </c>
      <c r="B42" s="255" t="s">
        <v>250</v>
      </c>
      <c r="C42" s="162" t="s">
        <v>262</v>
      </c>
      <c r="D42" s="157">
        <v>15</v>
      </c>
      <c r="E42" s="158" t="s">
        <v>252</v>
      </c>
      <c r="F42" s="159" t="s">
        <v>255</v>
      </c>
      <c r="G42" s="159" t="s">
        <v>255</v>
      </c>
      <c r="H42" s="160" t="s">
        <v>254</v>
      </c>
    </row>
    <row r="43" spans="1:8">
      <c r="A43" s="156">
        <v>24</v>
      </c>
      <c r="B43" s="255" t="s">
        <v>250</v>
      </c>
      <c r="C43" s="162" t="s">
        <v>262</v>
      </c>
      <c r="D43" s="157">
        <v>15</v>
      </c>
      <c r="E43" s="158" t="s">
        <v>252</v>
      </c>
      <c r="F43" s="159" t="s">
        <v>255</v>
      </c>
      <c r="G43" s="159" t="s">
        <v>255</v>
      </c>
      <c r="H43" s="160" t="s">
        <v>254</v>
      </c>
    </row>
    <row r="44" spans="1:8">
      <c r="A44" s="156">
        <v>25</v>
      </c>
      <c r="B44" s="255" t="s">
        <v>250</v>
      </c>
      <c r="C44" s="162" t="s">
        <v>262</v>
      </c>
      <c r="D44" s="157">
        <v>15</v>
      </c>
      <c r="E44" s="158" t="s">
        <v>252</v>
      </c>
      <c r="F44" s="159" t="s">
        <v>255</v>
      </c>
      <c r="G44" s="159" t="s">
        <v>255</v>
      </c>
      <c r="H44" s="160" t="s">
        <v>254</v>
      </c>
    </row>
    <row r="45" spans="1:8">
      <c r="A45" s="156">
        <v>26</v>
      </c>
      <c r="B45" s="255" t="s">
        <v>250</v>
      </c>
      <c r="C45" s="162" t="s">
        <v>262</v>
      </c>
      <c r="D45" s="157">
        <v>15</v>
      </c>
      <c r="E45" s="158" t="s">
        <v>252</v>
      </c>
      <c r="F45" s="159" t="s">
        <v>255</v>
      </c>
      <c r="G45" s="159" t="s">
        <v>255</v>
      </c>
      <c r="H45" s="160" t="s">
        <v>254</v>
      </c>
    </row>
    <row r="46" spans="1:8">
      <c r="A46" s="156">
        <v>27</v>
      </c>
      <c r="B46" s="255" t="s">
        <v>250</v>
      </c>
      <c r="C46" s="162" t="s">
        <v>262</v>
      </c>
      <c r="D46" s="157">
        <v>15</v>
      </c>
      <c r="E46" s="158" t="s">
        <v>252</v>
      </c>
      <c r="F46" s="159" t="s">
        <v>255</v>
      </c>
      <c r="G46" s="159" t="s">
        <v>255</v>
      </c>
      <c r="H46" s="160" t="s">
        <v>254</v>
      </c>
    </row>
    <row r="47" spans="1:8">
      <c r="A47" s="156">
        <v>28</v>
      </c>
      <c r="B47" s="255" t="s">
        <v>250</v>
      </c>
      <c r="C47" s="162" t="s">
        <v>262</v>
      </c>
      <c r="D47" s="157">
        <v>15</v>
      </c>
      <c r="E47" s="158" t="s">
        <v>252</v>
      </c>
      <c r="F47" s="159" t="s">
        <v>255</v>
      </c>
      <c r="G47" s="159" t="s">
        <v>255</v>
      </c>
      <c r="H47" s="160" t="s">
        <v>254</v>
      </c>
    </row>
    <row r="48" spans="1:8">
      <c r="A48" s="156">
        <v>29</v>
      </c>
      <c r="B48" s="255" t="s">
        <v>250</v>
      </c>
      <c r="C48" s="162" t="s">
        <v>262</v>
      </c>
      <c r="D48" s="157">
        <v>15</v>
      </c>
      <c r="E48" s="158" t="s">
        <v>252</v>
      </c>
      <c r="F48" s="159" t="s">
        <v>255</v>
      </c>
      <c r="G48" s="159" t="s">
        <v>255</v>
      </c>
      <c r="H48" s="160" t="s">
        <v>254</v>
      </c>
    </row>
    <row r="49" spans="1:8">
      <c r="A49" s="156">
        <v>30</v>
      </c>
      <c r="B49" s="255" t="s">
        <v>250</v>
      </c>
      <c r="C49" s="162" t="s">
        <v>262</v>
      </c>
      <c r="D49" s="157">
        <v>15</v>
      </c>
      <c r="E49" s="158" t="s">
        <v>252</v>
      </c>
      <c r="F49" s="159" t="s">
        <v>255</v>
      </c>
      <c r="G49" s="159" t="s">
        <v>255</v>
      </c>
      <c r="H49" s="160" t="s">
        <v>254</v>
      </c>
    </row>
    <row r="50" spans="1:8">
      <c r="A50" s="156">
        <v>31</v>
      </c>
      <c r="B50" s="255" t="s">
        <v>250</v>
      </c>
      <c r="C50" s="162" t="s">
        <v>262</v>
      </c>
      <c r="D50" s="157">
        <v>15</v>
      </c>
      <c r="E50" s="158" t="s">
        <v>252</v>
      </c>
      <c r="F50" s="159" t="s">
        <v>255</v>
      </c>
      <c r="G50" s="159" t="s">
        <v>255</v>
      </c>
      <c r="H50" s="160" t="s">
        <v>254</v>
      </c>
    </row>
    <row r="51" spans="1:8">
      <c r="A51" s="156">
        <v>32</v>
      </c>
      <c r="B51" s="255" t="s">
        <v>250</v>
      </c>
      <c r="C51" s="162" t="s">
        <v>262</v>
      </c>
      <c r="D51" s="157">
        <v>15</v>
      </c>
      <c r="E51" s="158" t="s">
        <v>252</v>
      </c>
      <c r="F51" s="159" t="s">
        <v>255</v>
      </c>
      <c r="G51" s="159" t="s">
        <v>255</v>
      </c>
      <c r="H51" s="160" t="s">
        <v>254</v>
      </c>
    </row>
    <row r="52" spans="1:8">
      <c r="A52" s="156">
        <v>33</v>
      </c>
      <c r="B52" s="255" t="s">
        <v>250</v>
      </c>
      <c r="C52" s="162" t="s">
        <v>262</v>
      </c>
      <c r="D52" s="157">
        <v>15</v>
      </c>
      <c r="E52" s="158" t="s">
        <v>252</v>
      </c>
      <c r="F52" s="159" t="s">
        <v>255</v>
      </c>
      <c r="G52" s="159" t="s">
        <v>255</v>
      </c>
      <c r="H52" s="160" t="s">
        <v>254</v>
      </c>
    </row>
    <row r="53" spans="1:8">
      <c r="A53" s="156">
        <v>34</v>
      </c>
      <c r="B53" s="255" t="s">
        <v>250</v>
      </c>
      <c r="C53" s="162" t="s">
        <v>262</v>
      </c>
      <c r="D53" s="157">
        <v>15</v>
      </c>
      <c r="E53" s="158" t="s">
        <v>252</v>
      </c>
      <c r="F53" s="159" t="s">
        <v>255</v>
      </c>
      <c r="G53" s="159" t="s">
        <v>255</v>
      </c>
      <c r="H53" s="160" t="s">
        <v>254</v>
      </c>
    </row>
    <row r="54" spans="1:8">
      <c r="A54" s="156">
        <v>35</v>
      </c>
      <c r="B54" s="255" t="s">
        <v>250</v>
      </c>
      <c r="C54" s="162" t="s">
        <v>262</v>
      </c>
      <c r="D54" s="157">
        <v>15</v>
      </c>
      <c r="E54" s="158" t="s">
        <v>252</v>
      </c>
      <c r="F54" s="159" t="s">
        <v>255</v>
      </c>
      <c r="G54" s="159" t="s">
        <v>255</v>
      </c>
      <c r="H54" s="160" t="s">
        <v>254</v>
      </c>
    </row>
    <row r="55" spans="1:8">
      <c r="A55" s="156">
        <v>36</v>
      </c>
      <c r="B55" s="255" t="s">
        <v>250</v>
      </c>
      <c r="C55" s="162" t="s">
        <v>262</v>
      </c>
      <c r="D55" s="157">
        <v>15</v>
      </c>
      <c r="E55" s="158" t="s">
        <v>252</v>
      </c>
      <c r="F55" s="159" t="s">
        <v>255</v>
      </c>
      <c r="G55" s="159" t="s">
        <v>255</v>
      </c>
      <c r="H55" s="160" t="s">
        <v>254</v>
      </c>
    </row>
    <row r="56" spans="1:8">
      <c r="A56" s="156">
        <v>37</v>
      </c>
      <c r="B56" s="255" t="s">
        <v>250</v>
      </c>
      <c r="C56" s="162" t="s">
        <v>262</v>
      </c>
      <c r="D56" s="157">
        <v>15</v>
      </c>
      <c r="E56" s="158" t="s">
        <v>252</v>
      </c>
      <c r="F56" s="159" t="s">
        <v>255</v>
      </c>
      <c r="G56" s="159" t="s">
        <v>255</v>
      </c>
      <c r="H56" s="160" t="s">
        <v>254</v>
      </c>
    </row>
    <row r="57" spans="1:8">
      <c r="A57" s="156">
        <v>38</v>
      </c>
      <c r="B57" s="255" t="s">
        <v>250</v>
      </c>
      <c r="C57" s="162" t="s">
        <v>262</v>
      </c>
      <c r="D57" s="157">
        <v>15</v>
      </c>
      <c r="E57" s="158" t="s">
        <v>252</v>
      </c>
      <c r="F57" s="159" t="s">
        <v>255</v>
      </c>
      <c r="G57" s="159" t="s">
        <v>255</v>
      </c>
      <c r="H57" s="160" t="s">
        <v>254</v>
      </c>
    </row>
    <row r="58" spans="1:8">
      <c r="A58" s="156">
        <v>39</v>
      </c>
      <c r="B58" s="255" t="s">
        <v>250</v>
      </c>
      <c r="C58" s="162" t="s">
        <v>262</v>
      </c>
      <c r="D58" s="157">
        <v>15</v>
      </c>
      <c r="E58" s="158" t="s">
        <v>252</v>
      </c>
      <c r="F58" s="159" t="s">
        <v>255</v>
      </c>
      <c r="G58" s="159" t="s">
        <v>255</v>
      </c>
      <c r="H58" s="160" t="s">
        <v>254</v>
      </c>
    </row>
    <row r="59" spans="1:8">
      <c r="A59" s="156">
        <v>40</v>
      </c>
      <c r="B59" s="255" t="s">
        <v>250</v>
      </c>
      <c r="C59" s="162" t="s">
        <v>262</v>
      </c>
      <c r="D59" s="157">
        <v>15</v>
      </c>
      <c r="E59" s="158" t="s">
        <v>252</v>
      </c>
      <c r="F59" s="159" t="s">
        <v>255</v>
      </c>
      <c r="G59" s="159" t="s">
        <v>255</v>
      </c>
      <c r="H59" s="160" t="s">
        <v>254</v>
      </c>
    </row>
    <row r="60" spans="1:8">
      <c r="A60" s="327" t="s">
        <v>263</v>
      </c>
      <c r="B60" s="327"/>
      <c r="C60" s="327"/>
      <c r="D60" s="327"/>
      <c r="E60" s="327"/>
      <c r="F60" s="327"/>
      <c r="G60" s="327"/>
      <c r="H60" s="327"/>
    </row>
    <row r="61" spans="1:8">
      <c r="A61" s="163">
        <v>1</v>
      </c>
      <c r="B61" s="255" t="s">
        <v>250</v>
      </c>
      <c r="C61" s="333" t="s">
        <v>264</v>
      </c>
      <c r="D61" s="157">
        <v>150</v>
      </c>
      <c r="E61" s="158" t="s">
        <v>252</v>
      </c>
      <c r="F61" s="159" t="s">
        <v>253</v>
      </c>
      <c r="G61" s="159" t="s">
        <v>253</v>
      </c>
      <c r="H61" s="160" t="s">
        <v>254</v>
      </c>
    </row>
    <row r="62" spans="1:8">
      <c r="A62" s="163">
        <v>2</v>
      </c>
      <c r="B62" s="255" t="s">
        <v>250</v>
      </c>
      <c r="C62" s="333"/>
      <c r="D62" s="157">
        <v>150</v>
      </c>
      <c r="E62" s="158" t="s">
        <v>252</v>
      </c>
      <c r="F62" s="159" t="s">
        <v>253</v>
      </c>
      <c r="G62" s="159" t="s">
        <v>255</v>
      </c>
      <c r="H62" s="160" t="s">
        <v>254</v>
      </c>
    </row>
    <row r="63" spans="1:8">
      <c r="A63" s="163">
        <v>3</v>
      </c>
      <c r="B63" s="255" t="s">
        <v>250</v>
      </c>
      <c r="C63" s="333"/>
      <c r="D63" s="157">
        <v>150</v>
      </c>
      <c r="E63" s="158" t="s">
        <v>252</v>
      </c>
      <c r="F63" s="159" t="s">
        <v>253</v>
      </c>
      <c r="G63" s="159" t="s">
        <v>253</v>
      </c>
      <c r="H63" s="160" t="s">
        <v>254</v>
      </c>
    </row>
    <row r="64" spans="1:8">
      <c r="A64" s="163">
        <v>4</v>
      </c>
      <c r="B64" s="255" t="s">
        <v>250</v>
      </c>
      <c r="C64" s="333"/>
      <c r="D64" s="157">
        <v>150</v>
      </c>
      <c r="E64" s="158" t="s">
        <v>252</v>
      </c>
      <c r="F64" s="159" t="s">
        <v>253</v>
      </c>
      <c r="G64" s="159" t="s">
        <v>255</v>
      </c>
      <c r="H64" s="160" t="s">
        <v>254</v>
      </c>
    </row>
    <row r="65" spans="1:8">
      <c r="A65" s="163">
        <v>5</v>
      </c>
      <c r="B65" s="255" t="s">
        <v>250</v>
      </c>
      <c r="C65" s="333"/>
      <c r="D65" s="157">
        <v>150</v>
      </c>
      <c r="E65" s="158" t="s">
        <v>252</v>
      </c>
      <c r="F65" s="159" t="s">
        <v>253</v>
      </c>
      <c r="G65" s="159" t="s">
        <v>253</v>
      </c>
      <c r="H65" s="160" t="s">
        <v>254</v>
      </c>
    </row>
    <row r="66" spans="1:8">
      <c r="A66" s="163">
        <v>6</v>
      </c>
      <c r="B66" s="255" t="s">
        <v>250</v>
      </c>
      <c r="C66" s="333"/>
      <c r="D66" s="157">
        <v>150</v>
      </c>
      <c r="E66" s="158" t="s">
        <v>252</v>
      </c>
      <c r="F66" s="159" t="s">
        <v>253</v>
      </c>
      <c r="G66" s="159" t="s">
        <v>255</v>
      </c>
      <c r="H66" s="160" t="s">
        <v>254</v>
      </c>
    </row>
    <row r="67" spans="1:8">
      <c r="A67" s="163">
        <v>7</v>
      </c>
      <c r="B67" s="255" t="s">
        <v>250</v>
      </c>
      <c r="C67" s="333"/>
      <c r="D67" s="157">
        <v>150</v>
      </c>
      <c r="E67" s="158" t="s">
        <v>252</v>
      </c>
      <c r="F67" s="159" t="s">
        <v>253</v>
      </c>
      <c r="G67" s="159" t="s">
        <v>253</v>
      </c>
      <c r="H67" s="160" t="s">
        <v>254</v>
      </c>
    </row>
    <row r="68" spans="1:8">
      <c r="A68" s="163">
        <v>8</v>
      </c>
      <c r="B68" s="255" t="s">
        <v>250</v>
      </c>
      <c r="C68" s="333"/>
      <c r="D68" s="157">
        <v>150</v>
      </c>
      <c r="E68" s="158" t="s">
        <v>252</v>
      </c>
      <c r="F68" s="159" t="s">
        <v>253</v>
      </c>
      <c r="G68" s="159" t="s">
        <v>255</v>
      </c>
      <c r="H68" s="160" t="s">
        <v>254</v>
      </c>
    </row>
    <row r="69" spans="1:8">
      <c r="A69" s="327" t="s">
        <v>265</v>
      </c>
      <c r="B69" s="327"/>
      <c r="C69" s="327"/>
      <c r="D69" s="327"/>
      <c r="E69" s="327"/>
      <c r="F69" s="327"/>
      <c r="G69" s="327"/>
      <c r="H69" s="327"/>
    </row>
    <row r="70" spans="1:8">
      <c r="A70" s="163">
        <v>1</v>
      </c>
      <c r="B70" s="255" t="s">
        <v>250</v>
      </c>
      <c r="C70" s="162" t="s">
        <v>262</v>
      </c>
      <c r="D70" s="157">
        <v>15</v>
      </c>
      <c r="E70" s="158" t="s">
        <v>252</v>
      </c>
      <c r="F70" s="159" t="s">
        <v>255</v>
      </c>
      <c r="G70" s="159" t="s">
        <v>253</v>
      </c>
      <c r="H70" s="160" t="s">
        <v>254</v>
      </c>
    </row>
    <row r="71" spans="1:8">
      <c r="A71" s="163">
        <v>2</v>
      </c>
      <c r="B71" s="255" t="s">
        <v>250</v>
      </c>
      <c r="C71" s="162" t="s">
        <v>262</v>
      </c>
      <c r="D71" s="157">
        <v>15</v>
      </c>
      <c r="E71" s="158" t="s">
        <v>252</v>
      </c>
      <c r="F71" s="159" t="s">
        <v>255</v>
      </c>
      <c r="G71" s="159" t="s">
        <v>253</v>
      </c>
      <c r="H71" s="160" t="s">
        <v>254</v>
      </c>
    </row>
    <row r="72" spans="1:8">
      <c r="A72" s="163">
        <v>3</v>
      </c>
      <c r="B72" s="255" t="s">
        <v>250</v>
      </c>
      <c r="C72" s="162" t="s">
        <v>262</v>
      </c>
      <c r="D72" s="157">
        <v>15</v>
      </c>
      <c r="E72" s="158" t="s">
        <v>252</v>
      </c>
      <c r="F72" s="159" t="s">
        <v>255</v>
      </c>
      <c r="G72" s="159" t="s">
        <v>253</v>
      </c>
      <c r="H72" s="160" t="s">
        <v>254</v>
      </c>
    </row>
    <row r="73" spans="1:8">
      <c r="A73" s="163">
        <v>4</v>
      </c>
      <c r="B73" s="255" t="s">
        <v>250</v>
      </c>
      <c r="C73" s="162" t="s">
        <v>262</v>
      </c>
      <c r="D73" s="157">
        <v>15</v>
      </c>
      <c r="E73" s="158" t="s">
        <v>252</v>
      </c>
      <c r="F73" s="159" t="s">
        <v>255</v>
      </c>
      <c r="G73" s="159" t="s">
        <v>253</v>
      </c>
      <c r="H73" s="160" t="s">
        <v>254</v>
      </c>
    </row>
    <row r="74" spans="1:8">
      <c r="A74" s="163">
        <v>5</v>
      </c>
      <c r="B74" s="255" t="s">
        <v>250</v>
      </c>
      <c r="C74" s="162" t="s">
        <v>262</v>
      </c>
      <c r="D74" s="157">
        <v>15</v>
      </c>
      <c r="E74" s="158" t="s">
        <v>252</v>
      </c>
      <c r="F74" s="159" t="s">
        <v>255</v>
      </c>
      <c r="G74" s="159" t="s">
        <v>253</v>
      </c>
      <c r="H74" s="160" t="s">
        <v>254</v>
      </c>
    </row>
    <row r="75" spans="1:8">
      <c r="A75" s="163">
        <v>6</v>
      </c>
      <c r="B75" s="255" t="s">
        <v>250</v>
      </c>
      <c r="C75" s="162" t="s">
        <v>262</v>
      </c>
      <c r="D75" s="157">
        <v>15</v>
      </c>
      <c r="E75" s="158" t="s">
        <v>252</v>
      </c>
      <c r="F75" s="159" t="s">
        <v>255</v>
      </c>
      <c r="G75" s="159" t="s">
        <v>253</v>
      </c>
      <c r="H75" s="160" t="s">
        <v>254</v>
      </c>
    </row>
    <row r="76" spans="1:8">
      <c r="A76" s="163">
        <v>7</v>
      </c>
      <c r="B76" s="255" t="s">
        <v>250</v>
      </c>
      <c r="C76" s="162" t="s">
        <v>262</v>
      </c>
      <c r="D76" s="157">
        <v>15</v>
      </c>
      <c r="E76" s="158" t="s">
        <v>252</v>
      </c>
      <c r="F76" s="159" t="s">
        <v>255</v>
      </c>
      <c r="G76" s="159" t="s">
        <v>253</v>
      </c>
      <c r="H76" s="160" t="s">
        <v>254</v>
      </c>
    </row>
    <row r="77" spans="1:8">
      <c r="A77" s="163">
        <v>8</v>
      </c>
      <c r="B77" s="255" t="s">
        <v>250</v>
      </c>
      <c r="C77" s="162" t="s">
        <v>262</v>
      </c>
      <c r="D77" s="157">
        <v>15</v>
      </c>
      <c r="E77" s="158" t="s">
        <v>252</v>
      </c>
      <c r="F77" s="159" t="s">
        <v>255</v>
      </c>
      <c r="G77" s="159" t="s">
        <v>253</v>
      </c>
      <c r="H77" s="160" t="s">
        <v>254</v>
      </c>
    </row>
    <row r="78" spans="1:8">
      <c r="A78" s="163">
        <v>9</v>
      </c>
      <c r="B78" s="255" t="s">
        <v>250</v>
      </c>
      <c r="C78" s="162" t="s">
        <v>262</v>
      </c>
      <c r="D78" s="157">
        <v>15</v>
      </c>
      <c r="E78" s="158" t="s">
        <v>252</v>
      </c>
      <c r="F78" s="159" t="s">
        <v>255</v>
      </c>
      <c r="G78" s="159" t="s">
        <v>253</v>
      </c>
      <c r="H78" s="160" t="s">
        <v>254</v>
      </c>
    </row>
    <row r="79" spans="1:8">
      <c r="A79" s="163">
        <v>10</v>
      </c>
      <c r="B79" s="255" t="s">
        <v>250</v>
      </c>
      <c r="C79" s="162" t="s">
        <v>262</v>
      </c>
      <c r="D79" s="157">
        <v>15</v>
      </c>
      <c r="E79" s="158" t="s">
        <v>252</v>
      </c>
      <c r="F79" s="159" t="s">
        <v>255</v>
      </c>
      <c r="G79" s="159" t="s">
        <v>253</v>
      </c>
      <c r="H79" s="160" t="s">
        <v>254</v>
      </c>
    </row>
    <row r="80" spans="1:8">
      <c r="A80" s="163">
        <v>11</v>
      </c>
      <c r="B80" s="255" t="s">
        <v>250</v>
      </c>
      <c r="C80" s="162" t="s">
        <v>262</v>
      </c>
      <c r="D80" s="157">
        <v>15</v>
      </c>
      <c r="E80" s="158" t="s">
        <v>252</v>
      </c>
      <c r="F80" s="159" t="s">
        <v>255</v>
      </c>
      <c r="G80" s="159" t="s">
        <v>253</v>
      </c>
      <c r="H80" s="160" t="s">
        <v>254</v>
      </c>
    </row>
    <row r="81" spans="1:8">
      <c r="A81" s="163">
        <v>12</v>
      </c>
      <c r="B81" s="255" t="s">
        <v>250</v>
      </c>
      <c r="C81" s="162" t="s">
        <v>262</v>
      </c>
      <c r="D81" s="157">
        <v>15</v>
      </c>
      <c r="E81" s="158" t="s">
        <v>252</v>
      </c>
      <c r="F81" s="159" t="s">
        <v>255</v>
      </c>
      <c r="G81" s="159" t="s">
        <v>253</v>
      </c>
      <c r="H81" s="160" t="s">
        <v>254</v>
      </c>
    </row>
    <row r="82" spans="1:8">
      <c r="A82" s="163">
        <v>13</v>
      </c>
      <c r="B82" s="255" t="s">
        <v>250</v>
      </c>
      <c r="C82" s="162" t="s">
        <v>262</v>
      </c>
      <c r="D82" s="157">
        <v>15</v>
      </c>
      <c r="E82" s="158" t="s">
        <v>252</v>
      </c>
      <c r="F82" s="159" t="s">
        <v>255</v>
      </c>
      <c r="G82" s="159" t="s">
        <v>253</v>
      </c>
      <c r="H82" s="160" t="s">
        <v>254</v>
      </c>
    </row>
    <row r="83" spans="1:8">
      <c r="A83" s="163">
        <v>14</v>
      </c>
      <c r="B83" s="255" t="s">
        <v>250</v>
      </c>
      <c r="C83" s="162" t="s">
        <v>262</v>
      </c>
      <c r="D83" s="157">
        <v>15</v>
      </c>
      <c r="E83" s="158" t="s">
        <v>252</v>
      </c>
      <c r="F83" s="159" t="s">
        <v>255</v>
      </c>
      <c r="G83" s="159" t="s">
        <v>253</v>
      </c>
      <c r="H83" s="160" t="s">
        <v>254</v>
      </c>
    </row>
    <row r="84" spans="1:8">
      <c r="A84" s="163">
        <v>15</v>
      </c>
      <c r="B84" s="255" t="s">
        <v>250</v>
      </c>
      <c r="C84" s="162" t="s">
        <v>262</v>
      </c>
      <c r="D84" s="157">
        <v>15</v>
      </c>
      <c r="E84" s="158" t="s">
        <v>252</v>
      </c>
      <c r="F84" s="159" t="s">
        <v>255</v>
      </c>
      <c r="G84" s="159" t="s">
        <v>253</v>
      </c>
      <c r="H84" s="160" t="s">
        <v>254</v>
      </c>
    </row>
    <row r="85" spans="1:8">
      <c r="A85" s="163">
        <v>16</v>
      </c>
      <c r="B85" s="255" t="s">
        <v>250</v>
      </c>
      <c r="C85" s="162" t="s">
        <v>262</v>
      </c>
      <c r="D85" s="157">
        <v>15</v>
      </c>
      <c r="E85" s="158" t="s">
        <v>252</v>
      </c>
      <c r="F85" s="159" t="s">
        <v>255</v>
      </c>
      <c r="G85" s="159" t="s">
        <v>253</v>
      </c>
      <c r="H85" s="160" t="s">
        <v>254</v>
      </c>
    </row>
    <row r="86" spans="1:8">
      <c r="A86" s="163">
        <v>17</v>
      </c>
      <c r="B86" s="255" t="s">
        <v>250</v>
      </c>
      <c r="C86" s="162" t="s">
        <v>262</v>
      </c>
      <c r="D86" s="157">
        <v>15</v>
      </c>
      <c r="E86" s="158" t="s">
        <v>252</v>
      </c>
      <c r="F86" s="159" t="s">
        <v>255</v>
      </c>
      <c r="G86" s="159" t="s">
        <v>253</v>
      </c>
      <c r="H86" s="160" t="s">
        <v>254</v>
      </c>
    </row>
    <row r="87" spans="1:8">
      <c r="A87" s="163">
        <v>18</v>
      </c>
      <c r="B87" s="255" t="s">
        <v>250</v>
      </c>
      <c r="C87" s="162" t="s">
        <v>262</v>
      </c>
      <c r="D87" s="157">
        <v>15</v>
      </c>
      <c r="E87" s="158" t="s">
        <v>252</v>
      </c>
      <c r="F87" s="159" t="s">
        <v>255</v>
      </c>
      <c r="G87" s="159" t="s">
        <v>253</v>
      </c>
      <c r="H87" s="160" t="s">
        <v>254</v>
      </c>
    </row>
    <row r="88" spans="1:8">
      <c r="A88" s="163">
        <v>19</v>
      </c>
      <c r="B88" s="255" t="s">
        <v>250</v>
      </c>
      <c r="C88" s="162" t="s">
        <v>262</v>
      </c>
      <c r="D88" s="157">
        <v>15</v>
      </c>
      <c r="E88" s="158" t="s">
        <v>252</v>
      </c>
      <c r="F88" s="159" t="s">
        <v>255</v>
      </c>
      <c r="G88" s="159" t="s">
        <v>253</v>
      </c>
      <c r="H88" s="160" t="s">
        <v>254</v>
      </c>
    </row>
    <row r="89" spans="1:8">
      <c r="A89" s="163">
        <v>20</v>
      </c>
      <c r="B89" s="255" t="s">
        <v>250</v>
      </c>
      <c r="C89" s="162" t="s">
        <v>262</v>
      </c>
      <c r="D89" s="157">
        <v>15</v>
      </c>
      <c r="E89" s="158" t="s">
        <v>252</v>
      </c>
      <c r="F89" s="159" t="s">
        <v>255</v>
      </c>
      <c r="G89" s="159" t="s">
        <v>253</v>
      </c>
      <c r="H89" s="160" t="s">
        <v>254</v>
      </c>
    </row>
    <row r="90" spans="1:8">
      <c r="A90" s="327" t="s">
        <v>266</v>
      </c>
      <c r="B90" s="327"/>
      <c r="C90" s="327"/>
      <c r="D90" s="327"/>
      <c r="E90" s="327"/>
      <c r="F90" s="327"/>
      <c r="G90" s="327"/>
      <c r="H90" s="327"/>
    </row>
    <row r="91" spans="1:8">
      <c r="A91" s="163">
        <v>1</v>
      </c>
      <c r="B91" s="255" t="s">
        <v>259</v>
      </c>
      <c r="C91" s="162" t="s">
        <v>262</v>
      </c>
      <c r="D91" s="157">
        <v>25</v>
      </c>
      <c r="E91" s="158" t="s">
        <v>252</v>
      </c>
      <c r="F91" s="159" t="s">
        <v>253</v>
      </c>
      <c r="G91" s="159" t="s">
        <v>253</v>
      </c>
      <c r="H91" s="160" t="s">
        <v>254</v>
      </c>
    </row>
    <row r="92" spans="1:8">
      <c r="A92" s="163">
        <v>2</v>
      </c>
      <c r="B92" s="255" t="s">
        <v>256</v>
      </c>
      <c r="C92" s="161" t="s">
        <v>257</v>
      </c>
      <c r="D92" s="157">
        <v>67</v>
      </c>
      <c r="E92" s="158" t="s">
        <v>258</v>
      </c>
      <c r="F92" s="159" t="s">
        <v>255</v>
      </c>
      <c r="G92" s="159" t="s">
        <v>253</v>
      </c>
      <c r="H92" s="160" t="s">
        <v>254</v>
      </c>
    </row>
    <row r="93" spans="1:8">
      <c r="A93" s="328" t="s">
        <v>267</v>
      </c>
      <c r="B93" s="328"/>
      <c r="C93" s="328"/>
      <c r="D93" s="328"/>
      <c r="E93" s="328"/>
      <c r="F93" s="328"/>
      <c r="G93" s="328"/>
      <c r="H93" s="328"/>
    </row>
    <row r="94" spans="1:8">
      <c r="A94" s="164">
        <v>1</v>
      </c>
      <c r="B94" s="167" t="s">
        <v>259</v>
      </c>
      <c r="C94" s="166" t="s">
        <v>262</v>
      </c>
      <c r="D94" s="167">
        <v>10</v>
      </c>
      <c r="E94" s="168" t="s">
        <v>258</v>
      </c>
      <c r="F94" s="168" t="s">
        <v>253</v>
      </c>
      <c r="G94" s="168" t="s">
        <v>253</v>
      </c>
      <c r="H94" s="169" t="s">
        <v>254</v>
      </c>
    </row>
    <row r="95" spans="1:8">
      <c r="A95" s="164">
        <v>2</v>
      </c>
      <c r="B95" s="167" t="s">
        <v>259</v>
      </c>
      <c r="C95" s="166" t="s">
        <v>262</v>
      </c>
      <c r="D95" s="167">
        <v>10</v>
      </c>
      <c r="E95" s="168" t="s">
        <v>258</v>
      </c>
      <c r="F95" s="168" t="s">
        <v>253</v>
      </c>
      <c r="G95" s="168" t="s">
        <v>253</v>
      </c>
      <c r="H95" s="169" t="s">
        <v>254</v>
      </c>
    </row>
    <row r="96" spans="1:8">
      <c r="A96" s="327" t="s">
        <v>369</v>
      </c>
      <c r="B96" s="327"/>
      <c r="C96" s="327"/>
      <c r="D96" s="327"/>
      <c r="E96" s="327"/>
      <c r="F96" s="327"/>
      <c r="G96" s="327"/>
      <c r="H96" s="327"/>
    </row>
    <row r="97" spans="1:8">
      <c r="A97" s="163">
        <v>1</v>
      </c>
      <c r="B97" s="255" t="s">
        <v>259</v>
      </c>
      <c r="C97" s="162" t="s">
        <v>262</v>
      </c>
      <c r="D97" s="157">
        <v>10</v>
      </c>
      <c r="E97" s="158" t="s">
        <v>258</v>
      </c>
      <c r="F97" s="159" t="s">
        <v>253</v>
      </c>
      <c r="G97" s="159" t="s">
        <v>253</v>
      </c>
      <c r="H97" s="160" t="s">
        <v>254</v>
      </c>
    </row>
    <row r="98" spans="1:8">
      <c r="A98" s="163">
        <v>2</v>
      </c>
      <c r="B98" s="255" t="s">
        <v>259</v>
      </c>
      <c r="C98" s="162" t="s">
        <v>262</v>
      </c>
      <c r="D98" s="157">
        <v>10</v>
      </c>
      <c r="E98" s="158" t="s">
        <v>258</v>
      </c>
      <c r="F98" s="159" t="s">
        <v>253</v>
      </c>
      <c r="G98" s="159" t="s">
        <v>253</v>
      </c>
      <c r="H98" s="160" t="s">
        <v>254</v>
      </c>
    </row>
    <row r="99" spans="1:8">
      <c r="A99" s="327" t="s">
        <v>366</v>
      </c>
      <c r="B99" s="327"/>
      <c r="C99" s="327"/>
      <c r="D99" s="327"/>
      <c r="E99" s="327"/>
      <c r="F99" s="327"/>
      <c r="G99" s="327"/>
      <c r="H99" s="327"/>
    </row>
    <row r="100" spans="1:8">
      <c r="A100" s="163">
        <v>1</v>
      </c>
      <c r="B100" s="163" t="s">
        <v>438</v>
      </c>
      <c r="C100" s="163"/>
      <c r="D100" s="163">
        <v>90000</v>
      </c>
      <c r="E100" s="163"/>
      <c r="F100" s="163"/>
      <c r="G100" s="163"/>
      <c r="H100" s="163" t="s">
        <v>254</v>
      </c>
    </row>
    <row r="101" spans="1:8">
      <c r="A101" s="163">
        <v>2</v>
      </c>
      <c r="B101" s="163" t="s">
        <v>438</v>
      </c>
      <c r="C101" s="163"/>
      <c r="D101" s="163">
        <v>90000</v>
      </c>
      <c r="E101" s="163"/>
      <c r="F101" s="163"/>
      <c r="G101" s="163"/>
      <c r="H101" s="163" t="s">
        <v>254</v>
      </c>
    </row>
    <row r="102" spans="1:8">
      <c r="A102" s="163">
        <v>3</v>
      </c>
      <c r="B102" s="163" t="s">
        <v>438</v>
      </c>
      <c r="C102" s="163"/>
      <c r="D102" s="163">
        <v>60000</v>
      </c>
      <c r="E102" s="163"/>
      <c r="F102" s="163"/>
      <c r="G102" s="163"/>
      <c r="H102" s="163" t="s">
        <v>254</v>
      </c>
    </row>
    <row r="103" spans="1:8">
      <c r="A103" s="163">
        <v>4</v>
      </c>
      <c r="B103" s="163" t="s">
        <v>438</v>
      </c>
      <c r="C103" s="163"/>
      <c r="D103" s="163">
        <v>120000</v>
      </c>
      <c r="E103" s="163"/>
      <c r="F103" s="163"/>
      <c r="G103" s="163"/>
      <c r="H103" s="163" t="s">
        <v>254</v>
      </c>
    </row>
    <row r="104" spans="1:8">
      <c r="A104" s="163">
        <v>5</v>
      </c>
      <c r="B104" s="163" t="s">
        <v>438</v>
      </c>
      <c r="C104" s="163"/>
      <c r="D104" s="163">
        <v>60000</v>
      </c>
      <c r="E104" s="163"/>
      <c r="F104" s="163"/>
      <c r="G104" s="163"/>
      <c r="H104" s="163" t="s">
        <v>254</v>
      </c>
    </row>
    <row r="105" spans="1:8">
      <c r="A105" s="163">
        <v>6</v>
      </c>
      <c r="B105" s="163" t="s">
        <v>438</v>
      </c>
      <c r="C105" s="163"/>
      <c r="D105" s="163">
        <v>90000</v>
      </c>
      <c r="E105" s="163"/>
      <c r="F105" s="163"/>
      <c r="G105" s="163"/>
      <c r="H105" s="163" t="s">
        <v>254</v>
      </c>
    </row>
    <row r="106" spans="1:8">
      <c r="A106" s="163">
        <v>7</v>
      </c>
      <c r="B106" s="163" t="s">
        <v>438</v>
      </c>
      <c r="C106" s="163"/>
      <c r="D106" s="163">
        <v>60000</v>
      </c>
      <c r="E106" s="163"/>
      <c r="F106" s="163"/>
      <c r="G106" s="163"/>
      <c r="H106" s="163" t="s">
        <v>254</v>
      </c>
    </row>
    <row r="107" spans="1:8">
      <c r="A107" s="163">
        <v>8</v>
      </c>
      <c r="B107" s="163" t="s">
        <v>438</v>
      </c>
      <c r="C107" s="163"/>
      <c r="D107" s="163">
        <v>60000</v>
      </c>
      <c r="E107" s="163"/>
      <c r="F107" s="163"/>
      <c r="G107" s="163"/>
      <c r="H107" s="163" t="s">
        <v>254</v>
      </c>
    </row>
    <row r="108" spans="1:8">
      <c r="A108" s="163">
        <v>9</v>
      </c>
      <c r="B108" s="163" t="s">
        <v>438</v>
      </c>
      <c r="C108" s="163"/>
      <c r="D108" s="163">
        <v>90000</v>
      </c>
      <c r="E108" s="163"/>
      <c r="F108" s="163"/>
      <c r="G108" s="163"/>
      <c r="H108" s="163" t="s">
        <v>254</v>
      </c>
    </row>
    <row r="109" spans="1:8">
      <c r="A109" s="163">
        <v>10</v>
      </c>
      <c r="B109" s="163" t="s">
        <v>438</v>
      </c>
      <c r="C109" s="163"/>
      <c r="D109" s="163">
        <v>90000</v>
      </c>
      <c r="E109" s="163"/>
      <c r="F109" s="163"/>
      <c r="G109" s="163"/>
      <c r="H109" s="163" t="s">
        <v>254</v>
      </c>
    </row>
    <row r="110" spans="1:8">
      <c r="A110" s="163">
        <v>11</v>
      </c>
      <c r="B110" s="163" t="s">
        <v>438</v>
      </c>
      <c r="C110" s="163"/>
      <c r="D110" s="163">
        <v>90000</v>
      </c>
      <c r="E110" s="163"/>
      <c r="F110" s="163"/>
      <c r="G110" s="163"/>
      <c r="H110" s="163" t="s">
        <v>254</v>
      </c>
    </row>
    <row r="111" spans="1:8">
      <c r="A111" s="163">
        <v>12</v>
      </c>
      <c r="B111" s="163" t="s">
        <v>438</v>
      </c>
      <c r="C111" s="163"/>
      <c r="D111" s="163">
        <v>90000</v>
      </c>
      <c r="E111" s="163"/>
      <c r="F111" s="163"/>
      <c r="G111" s="163"/>
      <c r="H111" s="163" t="s">
        <v>254</v>
      </c>
    </row>
    <row r="112" spans="1:8">
      <c r="A112" s="163">
        <v>13</v>
      </c>
      <c r="B112" s="163" t="s">
        <v>438</v>
      </c>
      <c r="C112" s="163"/>
      <c r="D112" s="163">
        <v>90000</v>
      </c>
      <c r="E112" s="163"/>
      <c r="F112" s="163"/>
      <c r="G112" s="163"/>
      <c r="H112" s="163" t="s">
        <v>254</v>
      </c>
    </row>
    <row r="113" spans="1:8">
      <c r="A113" s="163">
        <v>14</v>
      </c>
      <c r="B113" s="163" t="s">
        <v>438</v>
      </c>
      <c r="C113" s="163"/>
      <c r="D113" s="163">
        <v>90000</v>
      </c>
      <c r="E113" s="163"/>
      <c r="F113" s="163"/>
      <c r="G113" s="163"/>
      <c r="H113" s="163" t="s">
        <v>254</v>
      </c>
    </row>
    <row r="114" spans="1:8">
      <c r="A114" s="163">
        <v>15</v>
      </c>
      <c r="B114" s="163" t="s">
        <v>438</v>
      </c>
      <c r="C114" s="163"/>
      <c r="D114" s="163">
        <v>60000</v>
      </c>
      <c r="E114" s="163"/>
      <c r="F114" s="163"/>
      <c r="G114" s="163"/>
      <c r="H114" s="163" t="s">
        <v>254</v>
      </c>
    </row>
    <row r="115" spans="1:8">
      <c r="A115" s="163">
        <v>16</v>
      </c>
      <c r="B115" s="163" t="s">
        <v>438</v>
      </c>
      <c r="C115" s="163"/>
      <c r="D115" s="163">
        <v>60000</v>
      </c>
      <c r="E115" s="163"/>
      <c r="F115" s="163"/>
      <c r="G115" s="163"/>
      <c r="H115" s="163" t="s">
        <v>254</v>
      </c>
    </row>
    <row r="116" spans="1:8">
      <c r="A116" s="327" t="s">
        <v>367</v>
      </c>
      <c r="B116" s="327"/>
      <c r="C116" s="327"/>
      <c r="D116" s="327"/>
      <c r="E116" s="327"/>
      <c r="F116" s="327"/>
      <c r="G116" s="327"/>
      <c r="H116" s="327"/>
    </row>
    <row r="117" spans="1:8" ht="22.8">
      <c r="A117" s="164">
        <v>1</v>
      </c>
      <c r="B117" s="255" t="s">
        <v>425</v>
      </c>
      <c r="C117" s="162" t="s">
        <v>436</v>
      </c>
      <c r="D117" s="157">
        <v>10</v>
      </c>
      <c r="E117" s="160"/>
      <c r="F117" s="160"/>
      <c r="G117" s="160"/>
      <c r="H117" s="160" t="s">
        <v>254</v>
      </c>
    </row>
    <row r="118" spans="1:8" ht="22.8">
      <c r="A118" s="164">
        <v>2</v>
      </c>
      <c r="B118" s="255" t="s">
        <v>426</v>
      </c>
      <c r="C118" s="162" t="s">
        <v>436</v>
      </c>
      <c r="D118" s="157">
        <v>30</v>
      </c>
      <c r="E118" s="160"/>
      <c r="F118" s="160"/>
      <c r="G118" s="160"/>
      <c r="H118" s="160" t="s">
        <v>254</v>
      </c>
    </row>
    <row r="119" spans="1:8" ht="22.8">
      <c r="A119" s="164">
        <v>3</v>
      </c>
      <c r="B119" s="255" t="s">
        <v>427</v>
      </c>
      <c r="C119" s="162" t="s">
        <v>436</v>
      </c>
      <c r="D119" s="157">
        <v>40</v>
      </c>
      <c r="E119" s="160"/>
      <c r="F119" s="160"/>
      <c r="G119" s="160"/>
      <c r="H119" s="160" t="s">
        <v>254</v>
      </c>
    </row>
    <row r="120" spans="1:8" ht="22.8">
      <c r="A120" s="164">
        <v>4</v>
      </c>
      <c r="B120" s="255" t="s">
        <v>428</v>
      </c>
      <c r="C120" s="162" t="s">
        <v>436</v>
      </c>
      <c r="D120" s="157">
        <v>15</v>
      </c>
      <c r="E120" s="160"/>
      <c r="F120" s="160"/>
      <c r="G120" s="160"/>
      <c r="H120" s="160" t="s">
        <v>254</v>
      </c>
    </row>
    <row r="121" spans="1:8" ht="34.200000000000003">
      <c r="A121" s="164">
        <v>5</v>
      </c>
      <c r="B121" s="255" t="s">
        <v>429</v>
      </c>
      <c r="C121" s="162" t="s">
        <v>437</v>
      </c>
      <c r="D121" s="157">
        <v>18</v>
      </c>
      <c r="E121" s="160"/>
      <c r="F121" s="160"/>
      <c r="G121" s="160"/>
      <c r="H121" s="160" t="s">
        <v>254</v>
      </c>
    </row>
    <row r="122" spans="1:8" ht="34.200000000000003">
      <c r="A122" s="164">
        <v>6</v>
      </c>
      <c r="B122" s="255" t="s">
        <v>430</v>
      </c>
      <c r="C122" s="162" t="s">
        <v>437</v>
      </c>
      <c r="D122" s="157">
        <v>24</v>
      </c>
      <c r="E122" s="160"/>
      <c r="F122" s="160"/>
      <c r="G122" s="160"/>
      <c r="H122" s="160" t="s">
        <v>254</v>
      </c>
    </row>
    <row r="123" spans="1:8" ht="34.200000000000003">
      <c r="A123" s="164">
        <v>7</v>
      </c>
      <c r="B123" s="255" t="s">
        <v>431</v>
      </c>
      <c r="C123" s="162" t="s">
        <v>437</v>
      </c>
      <c r="D123" s="157">
        <v>12</v>
      </c>
      <c r="E123" s="160"/>
      <c r="F123" s="160"/>
      <c r="G123" s="160"/>
      <c r="H123" s="160" t="s">
        <v>254</v>
      </c>
    </row>
    <row r="124" spans="1:8" ht="22.8">
      <c r="A124" s="164">
        <v>8</v>
      </c>
      <c r="B124" s="255" t="s">
        <v>432</v>
      </c>
      <c r="C124" s="162" t="s">
        <v>436</v>
      </c>
      <c r="D124" s="157">
        <v>25</v>
      </c>
      <c r="E124" s="160"/>
      <c r="F124" s="160"/>
      <c r="G124" s="160"/>
      <c r="H124" s="160" t="s">
        <v>254</v>
      </c>
    </row>
    <row r="125" spans="1:8" ht="22.8">
      <c r="A125" s="164">
        <v>9</v>
      </c>
      <c r="B125" s="255" t="s">
        <v>426</v>
      </c>
      <c r="C125" s="162" t="s">
        <v>436</v>
      </c>
      <c r="D125" s="157">
        <v>30</v>
      </c>
      <c r="E125" s="160"/>
      <c r="F125" s="160"/>
      <c r="G125" s="160"/>
      <c r="H125" s="160" t="s">
        <v>254</v>
      </c>
    </row>
    <row r="126" spans="1:8" ht="34.200000000000003">
      <c r="A126" s="164">
        <v>10</v>
      </c>
      <c r="B126" s="255" t="s">
        <v>429</v>
      </c>
      <c r="C126" s="162" t="s">
        <v>437</v>
      </c>
      <c r="D126" s="157">
        <v>18</v>
      </c>
      <c r="E126" s="160"/>
      <c r="F126" s="160"/>
      <c r="G126" s="160"/>
      <c r="H126" s="160" t="s">
        <v>254</v>
      </c>
    </row>
    <row r="127" spans="1:8" ht="34.200000000000003">
      <c r="A127" s="164">
        <v>11</v>
      </c>
      <c r="B127" s="255" t="s">
        <v>430</v>
      </c>
      <c r="C127" s="162" t="s">
        <v>437</v>
      </c>
      <c r="D127" s="157">
        <v>24</v>
      </c>
      <c r="E127" s="160"/>
      <c r="F127" s="160"/>
      <c r="G127" s="160"/>
      <c r="H127" s="160" t="s">
        <v>254</v>
      </c>
    </row>
    <row r="128" spans="1:8" ht="22.8">
      <c r="A128" s="164">
        <v>12</v>
      </c>
      <c r="B128" s="255" t="s">
        <v>433</v>
      </c>
      <c r="C128" s="162" t="s">
        <v>436</v>
      </c>
      <c r="D128" s="157">
        <v>20</v>
      </c>
      <c r="E128" s="160"/>
      <c r="F128" s="160"/>
      <c r="G128" s="160"/>
      <c r="H128" s="160" t="s">
        <v>254</v>
      </c>
    </row>
    <row r="129" spans="1:8" ht="34.200000000000003">
      <c r="A129" s="164">
        <v>13</v>
      </c>
      <c r="B129" s="255" t="s">
        <v>434</v>
      </c>
      <c r="C129" s="162" t="s">
        <v>437</v>
      </c>
      <c r="D129" s="157">
        <v>30</v>
      </c>
      <c r="E129" s="160"/>
      <c r="F129" s="160"/>
      <c r="G129" s="160"/>
      <c r="H129" s="160" t="s">
        <v>254</v>
      </c>
    </row>
    <row r="130" spans="1:8" ht="22.8">
      <c r="A130" s="164">
        <v>14</v>
      </c>
      <c r="B130" s="255" t="s">
        <v>432</v>
      </c>
      <c r="C130" s="162" t="s">
        <v>436</v>
      </c>
      <c r="D130" s="157">
        <v>25</v>
      </c>
      <c r="E130" s="160"/>
      <c r="F130" s="160"/>
      <c r="G130" s="160"/>
      <c r="H130" s="160" t="s">
        <v>254</v>
      </c>
    </row>
    <row r="131" spans="1:8" ht="22.8">
      <c r="A131" s="164">
        <v>15</v>
      </c>
      <c r="B131" s="255" t="s">
        <v>435</v>
      </c>
      <c r="C131" s="162" t="s">
        <v>436</v>
      </c>
      <c r="D131" s="157">
        <v>15</v>
      </c>
      <c r="E131" s="160"/>
      <c r="F131" s="160"/>
      <c r="G131" s="160"/>
      <c r="H131" s="160" t="s">
        <v>254</v>
      </c>
    </row>
    <row r="132" spans="1:8">
      <c r="A132" s="328" t="s">
        <v>368</v>
      </c>
      <c r="B132" s="328"/>
      <c r="C132" s="328"/>
      <c r="D132" s="328"/>
      <c r="E132" s="328"/>
      <c r="F132" s="328"/>
      <c r="G132" s="328"/>
      <c r="H132" s="328"/>
    </row>
    <row r="133" spans="1:8">
      <c r="A133" s="165">
        <v>1</v>
      </c>
      <c r="B133" s="167" t="s">
        <v>250</v>
      </c>
      <c r="C133" s="166" t="s">
        <v>264</v>
      </c>
      <c r="D133" s="167">
        <v>147</v>
      </c>
      <c r="E133" s="70"/>
      <c r="F133" s="70"/>
      <c r="G133" s="70"/>
      <c r="H133" s="169" t="s">
        <v>254</v>
      </c>
    </row>
    <row r="134" spans="1:8" ht="22.8">
      <c r="A134" s="165">
        <v>2</v>
      </c>
      <c r="B134" s="167" t="s">
        <v>424</v>
      </c>
      <c r="C134" s="166" t="s">
        <v>264</v>
      </c>
      <c r="D134" s="167">
        <v>7.16</v>
      </c>
      <c r="E134" s="70"/>
      <c r="F134" s="70"/>
      <c r="G134" s="70"/>
      <c r="H134" s="169" t="s">
        <v>254</v>
      </c>
    </row>
    <row r="135" spans="1:8" ht="22.8">
      <c r="A135" s="165">
        <v>3</v>
      </c>
      <c r="B135" s="167" t="s">
        <v>424</v>
      </c>
      <c r="C135" s="166" t="s">
        <v>264</v>
      </c>
      <c r="D135" s="167">
        <v>14.3</v>
      </c>
      <c r="E135" s="70"/>
      <c r="F135" s="70"/>
      <c r="G135" s="70"/>
      <c r="H135" s="169" t="s">
        <v>254</v>
      </c>
    </row>
    <row r="136" spans="1:8" ht="34.200000000000003">
      <c r="A136" s="165">
        <v>4</v>
      </c>
      <c r="B136" s="167" t="s">
        <v>421</v>
      </c>
      <c r="C136" s="166" t="s">
        <v>264</v>
      </c>
      <c r="D136" s="167">
        <v>18.420000000000002</v>
      </c>
      <c r="E136" s="70"/>
      <c r="F136" s="70"/>
      <c r="G136" s="70"/>
      <c r="H136" s="169" t="s">
        <v>254</v>
      </c>
    </row>
    <row r="137" spans="1:8" ht="34.200000000000003">
      <c r="A137" s="165">
        <v>5</v>
      </c>
      <c r="B137" s="167" t="s">
        <v>421</v>
      </c>
      <c r="C137" s="166" t="s">
        <v>264</v>
      </c>
      <c r="D137" s="167">
        <v>11.5</v>
      </c>
      <c r="E137" s="70"/>
      <c r="F137" s="70"/>
      <c r="G137" s="70"/>
      <c r="H137" s="169" t="s">
        <v>254</v>
      </c>
    </row>
    <row r="138" spans="1:8" ht="34.200000000000003">
      <c r="A138" s="165">
        <v>6</v>
      </c>
      <c r="B138" s="167" t="s">
        <v>421</v>
      </c>
      <c r="C138" s="166" t="s">
        <v>264</v>
      </c>
      <c r="D138" s="167">
        <v>14</v>
      </c>
      <c r="E138" s="70"/>
      <c r="F138" s="70"/>
      <c r="G138" s="70"/>
      <c r="H138" s="169" t="s">
        <v>254</v>
      </c>
    </row>
    <row r="139" spans="1:8" ht="34.200000000000003">
      <c r="A139" s="165">
        <v>7</v>
      </c>
      <c r="B139" s="167" t="s">
        <v>421</v>
      </c>
      <c r="C139" s="166" t="s">
        <v>264</v>
      </c>
      <c r="D139" s="167">
        <v>15.49</v>
      </c>
      <c r="E139" s="70"/>
      <c r="F139" s="70"/>
      <c r="G139" s="70"/>
      <c r="H139" s="169" t="s">
        <v>254</v>
      </c>
    </row>
    <row r="140" spans="1:8" ht="34.200000000000003">
      <c r="A140" s="165">
        <v>8</v>
      </c>
      <c r="B140" s="167" t="s">
        <v>421</v>
      </c>
      <c r="C140" s="166" t="s">
        <v>264</v>
      </c>
      <c r="D140" s="167">
        <v>19.41</v>
      </c>
      <c r="E140" s="70"/>
      <c r="F140" s="70"/>
      <c r="G140" s="70"/>
      <c r="H140" s="169" t="s">
        <v>254</v>
      </c>
    </row>
    <row r="141" spans="1:8" ht="34.200000000000003">
      <c r="A141" s="165">
        <v>9</v>
      </c>
      <c r="B141" s="167" t="s">
        <v>421</v>
      </c>
      <c r="C141" s="166" t="s">
        <v>264</v>
      </c>
      <c r="D141" s="167">
        <v>29.98</v>
      </c>
      <c r="E141" s="70"/>
      <c r="F141" s="70"/>
      <c r="G141" s="70"/>
      <c r="H141" s="169" t="s">
        <v>254</v>
      </c>
    </row>
    <row r="142" spans="1:8" ht="34.200000000000003">
      <c r="A142" s="165">
        <v>10</v>
      </c>
      <c r="B142" s="167" t="s">
        <v>421</v>
      </c>
      <c r="C142" s="166" t="s">
        <v>264</v>
      </c>
      <c r="D142" s="167">
        <v>13.14</v>
      </c>
      <c r="E142" s="70"/>
      <c r="F142" s="70"/>
      <c r="G142" s="70"/>
      <c r="H142" s="169" t="s">
        <v>254</v>
      </c>
    </row>
    <row r="143" spans="1:8" ht="34.200000000000003">
      <c r="A143" s="165">
        <v>11</v>
      </c>
      <c r="B143" s="167" t="s">
        <v>421</v>
      </c>
      <c r="C143" s="166" t="s">
        <v>264</v>
      </c>
      <c r="D143" s="167">
        <v>16.77</v>
      </c>
      <c r="E143" s="70"/>
      <c r="F143" s="70"/>
      <c r="G143" s="70"/>
      <c r="H143" s="169" t="s">
        <v>254</v>
      </c>
    </row>
    <row r="144" spans="1:8" ht="22.8">
      <c r="A144" s="165">
        <v>12</v>
      </c>
      <c r="B144" s="167" t="s">
        <v>422</v>
      </c>
      <c r="C144" s="166" t="s">
        <v>264</v>
      </c>
      <c r="D144" s="167">
        <v>21.69</v>
      </c>
      <c r="E144" s="70"/>
      <c r="F144" s="70"/>
      <c r="G144" s="70"/>
      <c r="H144" s="169" t="s">
        <v>254</v>
      </c>
    </row>
    <row r="145" spans="1:8" ht="22.8">
      <c r="A145" s="165">
        <v>13</v>
      </c>
      <c r="B145" s="167" t="s">
        <v>423</v>
      </c>
      <c r="C145" s="166" t="s">
        <v>264</v>
      </c>
      <c r="D145" s="167">
        <v>3</v>
      </c>
      <c r="E145" s="70"/>
      <c r="F145" s="70"/>
      <c r="G145" s="70"/>
      <c r="H145" s="169" t="s">
        <v>254</v>
      </c>
    </row>
    <row r="146" spans="1:8" ht="22.8">
      <c r="A146" s="165">
        <v>14</v>
      </c>
      <c r="B146" s="167" t="s">
        <v>423</v>
      </c>
      <c r="C146" s="166" t="s">
        <v>264</v>
      </c>
      <c r="D146" s="167">
        <v>9</v>
      </c>
      <c r="E146" s="70"/>
      <c r="F146" s="70"/>
      <c r="G146" s="70"/>
      <c r="H146" s="169" t="s">
        <v>254</v>
      </c>
    </row>
    <row r="147" spans="1:8" ht="22.8">
      <c r="A147" s="165">
        <v>15</v>
      </c>
      <c r="B147" s="167" t="s">
        <v>423</v>
      </c>
      <c r="C147" s="166" t="s">
        <v>264</v>
      </c>
      <c r="D147" s="167">
        <v>2</v>
      </c>
      <c r="E147" s="70"/>
      <c r="F147" s="70"/>
      <c r="G147" s="70"/>
      <c r="H147" s="169" t="s">
        <v>254</v>
      </c>
    </row>
    <row r="148" spans="1:8" ht="22.8">
      <c r="A148" s="165">
        <v>16</v>
      </c>
      <c r="B148" s="167" t="s">
        <v>423</v>
      </c>
      <c r="C148" s="166" t="s">
        <v>264</v>
      </c>
      <c r="D148" s="167">
        <v>7.5</v>
      </c>
      <c r="E148" s="70"/>
      <c r="F148" s="70"/>
      <c r="G148" s="70"/>
      <c r="H148" s="169" t="s">
        <v>254</v>
      </c>
    </row>
    <row r="149" spans="1:8" ht="22.8">
      <c r="A149" s="165">
        <v>17</v>
      </c>
      <c r="B149" s="167" t="s">
        <v>423</v>
      </c>
      <c r="C149" s="166" t="s">
        <v>264</v>
      </c>
      <c r="D149" s="167">
        <v>4</v>
      </c>
      <c r="E149" s="70"/>
      <c r="F149" s="70"/>
      <c r="G149" s="70"/>
      <c r="H149" s="169" t="s">
        <v>254</v>
      </c>
    </row>
    <row r="150" spans="1:8" ht="22.8">
      <c r="A150" s="165">
        <v>18</v>
      </c>
      <c r="B150" s="167" t="s">
        <v>423</v>
      </c>
      <c r="C150" s="166" t="s">
        <v>264</v>
      </c>
      <c r="D150" s="167">
        <v>10</v>
      </c>
      <c r="E150" s="70"/>
      <c r="F150" s="70"/>
      <c r="G150" s="70"/>
      <c r="H150" s="169" t="s">
        <v>254</v>
      </c>
    </row>
  </sheetData>
  <mergeCells count="19">
    <mergeCell ref="A1:H1"/>
    <mergeCell ref="A2:H2"/>
    <mergeCell ref="A93:H93"/>
    <mergeCell ref="A6:H6"/>
    <mergeCell ref="A8:H8"/>
    <mergeCell ref="C9:C13"/>
    <mergeCell ref="A16:H16"/>
    <mergeCell ref="C17:C18"/>
    <mergeCell ref="A19:H19"/>
    <mergeCell ref="A60:H60"/>
    <mergeCell ref="C61:C68"/>
    <mergeCell ref="A69:H69"/>
    <mergeCell ref="A90:H90"/>
    <mergeCell ref="A99:H99"/>
    <mergeCell ref="A116:H116"/>
    <mergeCell ref="A132:H132"/>
    <mergeCell ref="A5:H5"/>
    <mergeCell ref="A4:H4"/>
    <mergeCell ref="A96:H96"/>
  </mergeCells>
  <pageMargins left="0.511811024" right="0.511811024" top="0.78740157499999996" bottom="0.78740157499999996" header="0.31496062000000002" footer="0.31496062000000002"/>
  <pageSetup paperSize="9" scale="83" orientation="landscape" r:id="rId1"/>
  <headerFooter>
    <oddHeader>&amp;L&amp;G&amp;CProcesso 23069.152417/2023-62
PE 25/2023&amp;R&amp;G</oddHeader>
    <oddFooter>&amp;L&amp;"-,Itálico"&amp;9&amp;A&amp;R&amp;"-,Itálico"&amp;9Página &amp;P de &amp;N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60"/>
  <sheetViews>
    <sheetView topLeftCell="A7" zoomScaleNormal="100" workbookViewId="0">
      <selection activeCell="I21" sqref="I21"/>
    </sheetView>
  </sheetViews>
  <sheetFormatPr defaultColWidth="8.88671875" defaultRowHeight="14.4"/>
  <cols>
    <col min="1" max="1" width="6.44140625" customWidth="1"/>
    <col min="2" max="2" width="62.109375" bestFit="1" customWidth="1"/>
    <col min="3" max="3" width="11.109375" bestFit="1" customWidth="1"/>
    <col min="4" max="6" width="18.44140625" bestFit="1" customWidth="1"/>
    <col min="7" max="10" width="15.44140625" customWidth="1"/>
  </cols>
  <sheetData>
    <row r="1" spans="1:6" ht="18" customHeight="1">
      <c r="A1" s="276" t="s">
        <v>0</v>
      </c>
      <c r="B1" s="276"/>
      <c r="C1" s="276"/>
      <c r="D1" s="276"/>
      <c r="E1" s="276"/>
      <c r="F1" s="276"/>
    </row>
    <row r="2" spans="1:6" ht="18">
      <c r="A2" s="271" t="s">
        <v>1</v>
      </c>
      <c r="B2" s="271"/>
      <c r="C2" s="271"/>
      <c r="D2" s="271"/>
      <c r="E2" s="271"/>
      <c r="F2" s="271"/>
    </row>
    <row r="4" spans="1:6" ht="14.4" customHeight="1">
      <c r="A4" s="272" t="s">
        <v>202</v>
      </c>
      <c r="B4" s="272"/>
      <c r="C4" s="272"/>
      <c r="D4" s="272"/>
      <c r="E4" s="272"/>
      <c r="F4" s="272"/>
    </row>
    <row r="5" spans="1:6" ht="38.4" customHeight="1">
      <c r="A5" s="268" t="s">
        <v>223</v>
      </c>
      <c r="B5" s="268"/>
      <c r="C5" s="268"/>
      <c r="D5" s="268"/>
      <c r="E5" s="268"/>
      <c r="F5" s="268"/>
    </row>
    <row r="6" spans="1:6">
      <c r="A6" s="341" t="s">
        <v>6</v>
      </c>
      <c r="B6" s="341"/>
      <c r="C6" s="341"/>
      <c r="D6" s="341"/>
      <c r="E6" s="341"/>
      <c r="F6" s="341"/>
    </row>
    <row r="7" spans="1:6" ht="15" thickBot="1">
      <c r="A7" s="341" t="s">
        <v>7</v>
      </c>
      <c r="B7" s="341"/>
      <c r="C7" s="341"/>
      <c r="D7" s="341"/>
      <c r="E7" s="341"/>
      <c r="F7" s="341"/>
    </row>
    <row r="8" spans="1:6">
      <c r="A8" s="342" t="s">
        <v>108</v>
      </c>
      <c r="B8" s="343"/>
      <c r="C8" s="344" t="s">
        <v>130</v>
      </c>
      <c r="D8" s="344"/>
      <c r="E8" s="344"/>
      <c r="F8" s="345"/>
    </row>
    <row r="9" spans="1:6" ht="15" thickBot="1">
      <c r="A9" s="346"/>
      <c r="B9" s="347"/>
      <c r="C9" s="348" t="s">
        <v>375</v>
      </c>
      <c r="D9" s="349"/>
      <c r="E9" s="349"/>
      <c r="F9" s="350"/>
    </row>
    <row r="10" spans="1:6" ht="15" thickBot="1">
      <c r="A10" s="9"/>
      <c r="B10" s="14"/>
      <c r="C10" s="15"/>
      <c r="D10" s="15"/>
    </row>
    <row r="11" spans="1:6">
      <c r="A11" s="334" t="s">
        <v>131</v>
      </c>
      <c r="B11" s="335"/>
      <c r="C11" s="335"/>
      <c r="D11" s="335"/>
      <c r="E11" s="335"/>
      <c r="F11" s="336"/>
    </row>
    <row r="12" spans="1:6">
      <c r="A12" s="337" t="s">
        <v>109</v>
      </c>
      <c r="B12" s="338"/>
      <c r="C12" s="339" t="s">
        <v>375</v>
      </c>
      <c r="D12" s="339"/>
      <c r="E12" s="339"/>
      <c r="F12" s="340"/>
    </row>
    <row r="13" spans="1:6">
      <c r="A13" s="337" t="s">
        <v>110</v>
      </c>
      <c r="B13" s="338"/>
      <c r="C13" s="339" t="s">
        <v>375</v>
      </c>
      <c r="D13" s="339"/>
      <c r="E13" s="339"/>
      <c r="F13" s="340"/>
    </row>
    <row r="14" spans="1:6">
      <c r="A14" s="351" t="s">
        <v>111</v>
      </c>
      <c r="B14" s="352"/>
      <c r="C14" s="339" t="s">
        <v>375</v>
      </c>
      <c r="D14" s="339"/>
      <c r="E14" s="339"/>
      <c r="F14" s="340"/>
    </row>
    <row r="15" spans="1:6">
      <c r="A15" s="337" t="s">
        <v>132</v>
      </c>
      <c r="B15" s="338"/>
      <c r="C15" s="339" t="s">
        <v>375</v>
      </c>
      <c r="D15" s="339"/>
      <c r="E15" s="339"/>
      <c r="F15" s="340"/>
    </row>
    <row r="16" spans="1:6" ht="15" thickBot="1">
      <c r="A16" s="353" t="s">
        <v>133</v>
      </c>
      <c r="B16" s="354"/>
      <c r="C16" s="339" t="s">
        <v>375</v>
      </c>
      <c r="D16" s="339"/>
      <c r="E16" s="339"/>
      <c r="F16" s="340"/>
    </row>
    <row r="17" spans="1:10" ht="15" thickBot="1">
      <c r="A17" s="9"/>
      <c r="B17" s="14"/>
      <c r="C17" s="15"/>
      <c r="D17" s="15"/>
    </row>
    <row r="18" spans="1:10">
      <c r="A18" s="360" t="s">
        <v>134</v>
      </c>
      <c r="B18" s="361"/>
      <c r="C18" s="361"/>
      <c r="D18" s="362"/>
      <c r="E18" s="16"/>
      <c r="F18" s="16"/>
    </row>
    <row r="19" spans="1:10" ht="28.8">
      <c r="A19" s="214" t="s">
        <v>135</v>
      </c>
      <c r="B19" s="212" t="s">
        <v>136</v>
      </c>
      <c r="C19" s="213" t="s">
        <v>137</v>
      </c>
      <c r="D19" s="215" t="s">
        <v>138</v>
      </c>
    </row>
    <row r="20" spans="1:10">
      <c r="A20" s="206">
        <v>20.88</v>
      </c>
      <c r="B20" s="204" t="s">
        <v>147</v>
      </c>
      <c r="C20" s="205" t="s">
        <v>235</v>
      </c>
      <c r="D20" s="207">
        <v>3583.24</v>
      </c>
    </row>
    <row r="21" spans="1:10">
      <c r="A21" s="206">
        <v>20.88</v>
      </c>
      <c r="B21" s="204" t="s">
        <v>277</v>
      </c>
      <c r="C21" s="205" t="s">
        <v>269</v>
      </c>
      <c r="D21" s="207">
        <v>1567.57</v>
      </c>
    </row>
    <row r="22" spans="1:10">
      <c r="A22" s="206">
        <v>15.21</v>
      </c>
      <c r="B22" s="204" t="s">
        <v>334</v>
      </c>
      <c r="C22" s="205" t="s">
        <v>269</v>
      </c>
      <c r="D22" s="207">
        <v>1567.57</v>
      </c>
    </row>
    <row r="23" spans="1:10">
      <c r="A23" s="206">
        <v>15.21</v>
      </c>
      <c r="B23" s="204" t="s">
        <v>361</v>
      </c>
      <c r="C23" s="205" t="s">
        <v>269</v>
      </c>
      <c r="D23" s="207">
        <v>1567.57</v>
      </c>
    </row>
    <row r="24" spans="1:10">
      <c r="A24" s="206">
        <v>20.88</v>
      </c>
      <c r="B24" s="204" t="s">
        <v>353</v>
      </c>
      <c r="C24" s="205" t="s">
        <v>360</v>
      </c>
      <c r="D24" s="207">
        <v>2915.86</v>
      </c>
    </row>
    <row r="25" spans="1:10">
      <c r="A25" s="209">
        <v>15.21</v>
      </c>
      <c r="B25" s="204" t="s">
        <v>354</v>
      </c>
      <c r="C25" s="205" t="s">
        <v>360</v>
      </c>
      <c r="D25" s="207">
        <v>2915.86</v>
      </c>
    </row>
    <row r="26" spans="1:10" ht="15" thickBot="1">
      <c r="A26" s="210">
        <v>15.21</v>
      </c>
      <c r="B26" s="56" t="s">
        <v>355</v>
      </c>
      <c r="C26" s="216" t="s">
        <v>360</v>
      </c>
      <c r="D26" s="217">
        <v>2915.86</v>
      </c>
    </row>
    <row r="27" spans="1:10" ht="15" thickBot="1">
      <c r="A27" s="9"/>
      <c r="B27" s="9"/>
      <c r="C27" s="10"/>
      <c r="D27" s="10"/>
    </row>
    <row r="28" spans="1:10" ht="41.4">
      <c r="A28" s="363" t="s">
        <v>8</v>
      </c>
      <c r="B28" s="364"/>
      <c r="C28" s="364"/>
      <c r="D28" s="55" t="s">
        <v>147</v>
      </c>
      <c r="E28" s="55" t="s">
        <v>277</v>
      </c>
      <c r="F28" s="55" t="s">
        <v>334</v>
      </c>
      <c r="G28" s="55" t="s">
        <v>361</v>
      </c>
      <c r="H28" s="55" t="s">
        <v>335</v>
      </c>
      <c r="I28" s="55" t="s">
        <v>272</v>
      </c>
      <c r="J28" s="55" t="s">
        <v>273</v>
      </c>
    </row>
    <row r="29" spans="1:10">
      <c r="A29" s="105">
        <v>1</v>
      </c>
      <c r="B29" s="357" t="s">
        <v>9</v>
      </c>
      <c r="C29" s="357"/>
      <c r="D29" s="62" t="s">
        <v>10</v>
      </c>
      <c r="E29" s="62" t="s">
        <v>10</v>
      </c>
      <c r="F29" s="62" t="s">
        <v>10</v>
      </c>
      <c r="G29" s="62" t="s">
        <v>10</v>
      </c>
      <c r="H29" s="62" t="s">
        <v>10</v>
      </c>
      <c r="I29" s="62" t="s">
        <v>10</v>
      </c>
      <c r="J29" s="62" t="s">
        <v>10</v>
      </c>
    </row>
    <row r="30" spans="1:10">
      <c r="A30" s="106" t="s">
        <v>11</v>
      </c>
      <c r="B30" s="365" t="s">
        <v>12</v>
      </c>
      <c r="C30" s="365"/>
      <c r="D30" s="68">
        <f>D20</f>
        <v>3583.24</v>
      </c>
      <c r="E30" s="68">
        <f>D21</f>
        <v>1567.57</v>
      </c>
      <c r="F30" s="68">
        <f>D22</f>
        <v>1567.57</v>
      </c>
      <c r="G30" s="68">
        <f>D23</f>
        <v>1567.57</v>
      </c>
      <c r="H30" s="203">
        <f>D24</f>
        <v>2915.86</v>
      </c>
      <c r="I30" s="68">
        <f>D25</f>
        <v>2915.86</v>
      </c>
      <c r="J30" s="68">
        <f>D26</f>
        <v>2915.86</v>
      </c>
    </row>
    <row r="31" spans="1:10">
      <c r="A31" s="106" t="s">
        <v>13</v>
      </c>
      <c r="B31" s="365" t="s">
        <v>14</v>
      </c>
      <c r="C31" s="365"/>
      <c r="D31" s="107"/>
      <c r="E31" s="70"/>
      <c r="F31" s="70"/>
      <c r="G31" s="70"/>
      <c r="H31" s="70"/>
      <c r="I31" s="70"/>
      <c r="J31" s="70"/>
    </row>
    <row r="32" spans="1:10">
      <c r="A32" s="106" t="s">
        <v>15</v>
      </c>
      <c r="B32" s="365" t="s">
        <v>139</v>
      </c>
      <c r="C32" s="365"/>
      <c r="D32" s="107"/>
      <c r="E32" s="108"/>
      <c r="F32" s="70"/>
      <c r="G32" s="70"/>
      <c r="H32" s="70"/>
      <c r="I32" s="70"/>
      <c r="J32" s="70"/>
    </row>
    <row r="33" spans="1:10">
      <c r="A33" s="106" t="s">
        <v>16</v>
      </c>
      <c r="B33" s="358" t="s">
        <v>17</v>
      </c>
      <c r="C33" s="358"/>
      <c r="D33" s="107"/>
      <c r="E33" s="70"/>
      <c r="F33" s="70"/>
      <c r="G33" s="110">
        <f>D23/220*20%*(1.1429*7)*A23</f>
        <v>173.40824583809999</v>
      </c>
      <c r="H33" s="70"/>
      <c r="I33" s="70"/>
      <c r="J33" s="110">
        <f>D26/220*20%*(1.1429*7)*A26</f>
        <v>322.55922715380007</v>
      </c>
    </row>
    <row r="34" spans="1:10">
      <c r="A34" s="106" t="s">
        <v>18</v>
      </c>
      <c r="B34" s="358" t="s">
        <v>19</v>
      </c>
      <c r="C34" s="358"/>
      <c r="D34" s="107"/>
      <c r="E34" s="70"/>
      <c r="F34" s="70"/>
      <c r="G34" s="70"/>
      <c r="H34" s="70"/>
      <c r="I34" s="70"/>
      <c r="J34" s="70"/>
    </row>
    <row r="35" spans="1:10">
      <c r="A35" s="106" t="s">
        <v>20</v>
      </c>
      <c r="B35" s="359" t="s">
        <v>140</v>
      </c>
      <c r="C35" s="359"/>
      <c r="D35" s="109"/>
      <c r="E35" s="110"/>
      <c r="F35" s="110"/>
      <c r="G35" s="70"/>
      <c r="H35" s="70"/>
      <c r="I35" s="70"/>
      <c r="J35" s="70"/>
    </row>
    <row r="36" spans="1:10" ht="15" thickBot="1">
      <c r="A36" s="18"/>
      <c r="B36" s="367" t="s">
        <v>22</v>
      </c>
      <c r="C36" s="367"/>
      <c r="D36" s="19">
        <f t="shared" ref="D36:I36" si="0">SUM(D30:D35)</f>
        <v>3583.24</v>
      </c>
      <c r="E36" s="19">
        <f t="shared" si="0"/>
        <v>1567.57</v>
      </c>
      <c r="F36" s="19">
        <f t="shared" si="0"/>
        <v>1567.57</v>
      </c>
      <c r="G36" s="19">
        <f>SUM(G30:G35)</f>
        <v>1740.9782458380998</v>
      </c>
      <c r="H36" s="19">
        <f t="shared" si="0"/>
        <v>2915.86</v>
      </c>
      <c r="I36" s="19">
        <f t="shared" si="0"/>
        <v>2915.86</v>
      </c>
      <c r="J36" s="19">
        <f>SUM(J30:J35)</f>
        <v>3238.4192271538004</v>
      </c>
    </row>
    <row r="37" spans="1:10" ht="15" thickBot="1">
      <c r="A37" s="9"/>
      <c r="B37" s="368"/>
      <c r="C37" s="368"/>
      <c r="D37" s="368"/>
    </row>
    <row r="38" spans="1:10" ht="41.4">
      <c r="A38" s="369" t="s">
        <v>23</v>
      </c>
      <c r="B38" s="370"/>
      <c r="C38" s="370"/>
      <c r="D38" s="55" t="s">
        <v>147</v>
      </c>
      <c r="E38" s="55" t="s">
        <v>277</v>
      </c>
      <c r="F38" s="55" t="s">
        <v>334</v>
      </c>
      <c r="G38" s="55" t="s">
        <v>361</v>
      </c>
      <c r="H38" s="55" t="s">
        <v>335</v>
      </c>
      <c r="I38" s="55" t="s">
        <v>272</v>
      </c>
      <c r="J38" s="55" t="s">
        <v>273</v>
      </c>
    </row>
    <row r="39" spans="1:10">
      <c r="A39" s="371" t="s">
        <v>24</v>
      </c>
      <c r="B39" s="372"/>
      <c r="C39" s="111"/>
      <c r="D39" s="62" t="s">
        <v>10</v>
      </c>
      <c r="E39" s="62" t="s">
        <v>10</v>
      </c>
      <c r="F39" s="62" t="s">
        <v>10</v>
      </c>
      <c r="G39" s="62" t="s">
        <v>10</v>
      </c>
      <c r="H39" s="62" t="s">
        <v>10</v>
      </c>
      <c r="I39" s="62" t="s">
        <v>10</v>
      </c>
      <c r="J39" s="62" t="s">
        <v>10</v>
      </c>
    </row>
    <row r="40" spans="1:10">
      <c r="A40" s="106" t="s">
        <v>11</v>
      </c>
      <c r="B40" s="112" t="s">
        <v>28</v>
      </c>
      <c r="C40" s="112"/>
      <c r="D40" s="68">
        <f t="shared" ref="D40:J40" si="1">D36*8.33%</f>
        <v>298.48389199999997</v>
      </c>
      <c r="E40" s="68">
        <f t="shared" si="1"/>
        <v>130.57858099999999</v>
      </c>
      <c r="F40" s="68">
        <f t="shared" si="1"/>
        <v>130.57858099999999</v>
      </c>
      <c r="G40" s="68">
        <f t="shared" si="1"/>
        <v>145.02348787831372</v>
      </c>
      <c r="H40" s="68">
        <f t="shared" si="1"/>
        <v>242.89113800000001</v>
      </c>
      <c r="I40" s="68">
        <f t="shared" si="1"/>
        <v>242.89113800000001</v>
      </c>
      <c r="J40" s="68">
        <f t="shared" si="1"/>
        <v>269.76032162191154</v>
      </c>
    </row>
    <row r="41" spans="1:10">
      <c r="A41" s="106" t="s">
        <v>13</v>
      </c>
      <c r="B41" s="112" t="s">
        <v>29</v>
      </c>
      <c r="C41" s="112"/>
      <c r="D41" s="68">
        <f t="shared" ref="D41:J41" si="2">D36*12.1%</f>
        <v>433.57203999999996</v>
      </c>
      <c r="E41" s="68">
        <f t="shared" si="2"/>
        <v>189.67596999999998</v>
      </c>
      <c r="F41" s="68">
        <f t="shared" si="2"/>
        <v>189.67596999999998</v>
      </c>
      <c r="G41" s="68">
        <f t="shared" si="2"/>
        <v>210.65836774641008</v>
      </c>
      <c r="H41" s="68">
        <f t="shared" si="2"/>
        <v>352.81905999999998</v>
      </c>
      <c r="I41" s="68">
        <f t="shared" si="2"/>
        <v>352.81905999999998</v>
      </c>
      <c r="J41" s="68">
        <f t="shared" si="2"/>
        <v>391.84872648560986</v>
      </c>
    </row>
    <row r="42" spans="1:10">
      <c r="A42" s="106"/>
      <c r="B42" s="111" t="s">
        <v>30</v>
      </c>
      <c r="C42" s="111"/>
      <c r="D42" s="72">
        <f t="shared" ref="D42:J42" si="3">SUM(D40:D41)</f>
        <v>732.05593199999998</v>
      </c>
      <c r="E42" s="72">
        <f t="shared" si="3"/>
        <v>320.25455099999999</v>
      </c>
      <c r="F42" s="72">
        <f t="shared" si="3"/>
        <v>320.25455099999999</v>
      </c>
      <c r="G42" s="72">
        <f t="shared" si="3"/>
        <v>355.68185562472377</v>
      </c>
      <c r="H42" s="72">
        <f t="shared" si="3"/>
        <v>595.71019799999999</v>
      </c>
      <c r="I42" s="72">
        <f t="shared" si="3"/>
        <v>595.71019799999999</v>
      </c>
      <c r="J42" s="72">
        <f t="shared" si="3"/>
        <v>661.6090481075214</v>
      </c>
    </row>
    <row r="43" spans="1:10" ht="43.8" thickBot="1">
      <c r="A43" s="34" t="s">
        <v>15</v>
      </c>
      <c r="B43" s="36" t="s">
        <v>31</v>
      </c>
      <c r="C43" s="36"/>
      <c r="D43" s="37">
        <f t="shared" ref="D43:J43" si="4">D36*7.82%</f>
        <v>280.20936799999998</v>
      </c>
      <c r="E43" s="37">
        <f t="shared" si="4"/>
        <v>122.583974</v>
      </c>
      <c r="F43" s="37">
        <f t="shared" si="4"/>
        <v>122.583974</v>
      </c>
      <c r="G43" s="37">
        <f t="shared" si="4"/>
        <v>136.14449882453943</v>
      </c>
      <c r="H43" s="37">
        <f t="shared" si="4"/>
        <v>228.02025200000003</v>
      </c>
      <c r="I43" s="37">
        <f t="shared" si="4"/>
        <v>228.02025200000003</v>
      </c>
      <c r="J43" s="37">
        <f t="shared" si="4"/>
        <v>253.24438356342722</v>
      </c>
    </row>
    <row r="44" spans="1:10" ht="15" thickBot="1">
      <c r="A44" s="9"/>
      <c r="B44" s="9"/>
      <c r="C44" s="9"/>
      <c r="D44" s="9"/>
    </row>
    <row r="45" spans="1:10" ht="41.4">
      <c r="A45" s="373" t="s">
        <v>32</v>
      </c>
      <c r="B45" s="374"/>
      <c r="C45" s="374"/>
      <c r="D45" s="55" t="s">
        <v>147</v>
      </c>
      <c r="E45" s="55" t="s">
        <v>277</v>
      </c>
      <c r="F45" s="55" t="s">
        <v>334</v>
      </c>
      <c r="G45" s="55" t="s">
        <v>361</v>
      </c>
      <c r="H45" s="55" t="s">
        <v>335</v>
      </c>
      <c r="I45" s="55" t="s">
        <v>272</v>
      </c>
      <c r="J45" s="55" t="s">
        <v>273</v>
      </c>
    </row>
    <row r="46" spans="1:10">
      <c r="A46" s="105" t="s">
        <v>33</v>
      </c>
      <c r="B46" s="64" t="s">
        <v>34</v>
      </c>
      <c r="C46" s="65" t="s">
        <v>35</v>
      </c>
      <c r="D46" s="65" t="s">
        <v>10</v>
      </c>
      <c r="E46" s="65" t="s">
        <v>10</v>
      </c>
      <c r="F46" s="65" t="s">
        <v>10</v>
      </c>
      <c r="G46" s="65" t="s">
        <v>10</v>
      </c>
      <c r="H46" s="65" t="s">
        <v>10</v>
      </c>
      <c r="I46" s="65" t="s">
        <v>10</v>
      </c>
      <c r="J46" s="65" t="s">
        <v>10</v>
      </c>
    </row>
    <row r="47" spans="1:10">
      <c r="A47" s="106" t="s">
        <v>11</v>
      </c>
      <c r="B47" s="66" t="s">
        <v>36</v>
      </c>
      <c r="C47" s="73">
        <v>20</v>
      </c>
      <c r="D47" s="68">
        <f t="shared" ref="D47:J47" si="5">(D36*($C$47/100))</f>
        <v>716.64800000000002</v>
      </c>
      <c r="E47" s="68">
        <f t="shared" si="5"/>
        <v>313.51400000000001</v>
      </c>
      <c r="F47" s="68">
        <f t="shared" si="5"/>
        <v>313.51400000000001</v>
      </c>
      <c r="G47" s="68">
        <f t="shared" si="5"/>
        <v>348.19564916761999</v>
      </c>
      <c r="H47" s="68">
        <f t="shared" si="5"/>
        <v>583.17200000000003</v>
      </c>
      <c r="I47" s="68">
        <f t="shared" si="5"/>
        <v>583.17200000000003</v>
      </c>
      <c r="J47" s="68">
        <f t="shared" si="5"/>
        <v>647.68384543076013</v>
      </c>
    </row>
    <row r="48" spans="1:10">
      <c r="A48" s="106" t="s">
        <v>13</v>
      </c>
      <c r="B48" s="113" t="s">
        <v>37</v>
      </c>
      <c r="C48" s="114">
        <v>2.5</v>
      </c>
      <c r="D48" s="115">
        <f t="shared" ref="D48:J48" si="6">(D36*($C$48/100))</f>
        <v>89.581000000000003</v>
      </c>
      <c r="E48" s="116">
        <f t="shared" si="6"/>
        <v>39.189250000000001</v>
      </c>
      <c r="F48" s="116">
        <f t="shared" si="6"/>
        <v>39.189250000000001</v>
      </c>
      <c r="G48" s="116">
        <f t="shared" si="6"/>
        <v>43.524456145952499</v>
      </c>
      <c r="H48" s="116">
        <f t="shared" si="6"/>
        <v>72.896500000000003</v>
      </c>
      <c r="I48" s="116">
        <f t="shared" si="6"/>
        <v>72.896500000000003</v>
      </c>
      <c r="J48" s="116">
        <f t="shared" si="6"/>
        <v>80.960480678845016</v>
      </c>
    </row>
    <row r="49" spans="1:10">
      <c r="A49" s="106" t="s">
        <v>15</v>
      </c>
      <c r="B49" s="66" t="s">
        <v>38</v>
      </c>
      <c r="C49" s="73">
        <v>6</v>
      </c>
      <c r="D49" s="68">
        <f t="shared" ref="D49:J49" si="7">(D$36*($C$49/100))</f>
        <v>214.99439999999998</v>
      </c>
      <c r="E49" s="68">
        <f t="shared" si="7"/>
        <v>94.054199999999994</v>
      </c>
      <c r="F49" s="68">
        <f t="shared" si="7"/>
        <v>94.054199999999994</v>
      </c>
      <c r="G49" s="68">
        <f t="shared" si="7"/>
        <v>104.45869475028599</v>
      </c>
      <c r="H49" s="68">
        <f t="shared" si="7"/>
        <v>174.95160000000001</v>
      </c>
      <c r="I49" s="68">
        <f t="shared" si="7"/>
        <v>174.95160000000001</v>
      </c>
      <c r="J49" s="68">
        <f t="shared" si="7"/>
        <v>194.30515362922802</v>
      </c>
    </row>
    <row r="50" spans="1:10">
      <c r="A50" s="106" t="s">
        <v>16</v>
      </c>
      <c r="B50" s="113" t="s">
        <v>39</v>
      </c>
      <c r="C50" s="114">
        <v>1.5</v>
      </c>
      <c r="D50" s="115">
        <f t="shared" ref="D50:J50" si="8">(D$36*($C$50/100))</f>
        <v>53.748599999999996</v>
      </c>
      <c r="E50" s="115">
        <f t="shared" si="8"/>
        <v>23.513549999999999</v>
      </c>
      <c r="F50" s="115">
        <f t="shared" si="8"/>
        <v>23.513549999999999</v>
      </c>
      <c r="G50" s="115">
        <f t="shared" si="8"/>
        <v>26.114673687571496</v>
      </c>
      <c r="H50" s="115">
        <f t="shared" si="8"/>
        <v>43.737900000000003</v>
      </c>
      <c r="I50" s="115">
        <f t="shared" si="8"/>
        <v>43.737900000000003</v>
      </c>
      <c r="J50" s="115">
        <f t="shared" si="8"/>
        <v>48.576288407307004</v>
      </c>
    </row>
    <row r="51" spans="1:10">
      <c r="A51" s="106" t="s">
        <v>18</v>
      </c>
      <c r="B51" s="113" t="s">
        <v>40</v>
      </c>
      <c r="C51" s="114">
        <v>1</v>
      </c>
      <c r="D51" s="115">
        <f t="shared" ref="D51:J51" si="9">(D$36*($C$51/100))</f>
        <v>35.8324</v>
      </c>
      <c r="E51" s="115">
        <f t="shared" si="9"/>
        <v>15.675699999999999</v>
      </c>
      <c r="F51" s="115">
        <f t="shared" si="9"/>
        <v>15.675699999999999</v>
      </c>
      <c r="G51" s="115">
        <f t="shared" si="9"/>
        <v>17.409782458380999</v>
      </c>
      <c r="H51" s="115">
        <f t="shared" si="9"/>
        <v>29.158600000000003</v>
      </c>
      <c r="I51" s="115">
        <f t="shared" si="9"/>
        <v>29.158600000000003</v>
      </c>
      <c r="J51" s="115">
        <f t="shared" si="9"/>
        <v>32.384192271538005</v>
      </c>
    </row>
    <row r="52" spans="1:10">
      <c r="A52" s="106" t="s">
        <v>20</v>
      </c>
      <c r="B52" s="113" t="s">
        <v>41</v>
      </c>
      <c r="C52" s="114">
        <v>0.6</v>
      </c>
      <c r="D52" s="115">
        <f t="shared" ref="D52:J52" si="10">(D$36*($C$52/100))</f>
        <v>21.49944</v>
      </c>
      <c r="E52" s="115">
        <f t="shared" si="10"/>
        <v>9.4054199999999994</v>
      </c>
      <c r="F52" s="115">
        <f t="shared" si="10"/>
        <v>9.4054199999999994</v>
      </c>
      <c r="G52" s="115">
        <f t="shared" si="10"/>
        <v>10.4458694750286</v>
      </c>
      <c r="H52" s="115">
        <f t="shared" si="10"/>
        <v>17.495160000000002</v>
      </c>
      <c r="I52" s="115">
        <f t="shared" si="10"/>
        <v>17.495160000000002</v>
      </c>
      <c r="J52" s="115">
        <f t="shared" si="10"/>
        <v>19.430515362922804</v>
      </c>
    </row>
    <row r="53" spans="1:10">
      <c r="A53" s="106" t="s">
        <v>42</v>
      </c>
      <c r="B53" s="113" t="s">
        <v>43</v>
      </c>
      <c r="C53" s="114">
        <v>0.2</v>
      </c>
      <c r="D53" s="115">
        <f t="shared" ref="D53:J53" si="11">(D$36*($C$53/100))</f>
        <v>7.16648</v>
      </c>
      <c r="E53" s="115">
        <f t="shared" si="11"/>
        <v>3.1351399999999998</v>
      </c>
      <c r="F53" s="115">
        <f t="shared" si="11"/>
        <v>3.1351399999999998</v>
      </c>
      <c r="G53" s="115">
        <f t="shared" si="11"/>
        <v>3.4819564916761996</v>
      </c>
      <c r="H53" s="115">
        <f t="shared" si="11"/>
        <v>5.8317200000000007</v>
      </c>
      <c r="I53" s="115">
        <f t="shared" si="11"/>
        <v>5.8317200000000007</v>
      </c>
      <c r="J53" s="115">
        <f t="shared" si="11"/>
        <v>6.4768384543076012</v>
      </c>
    </row>
    <row r="54" spans="1:10">
      <c r="A54" s="106" t="s">
        <v>44</v>
      </c>
      <c r="B54" s="66" t="s">
        <v>45</v>
      </c>
      <c r="C54" s="73">
        <v>8</v>
      </c>
      <c r="D54" s="68">
        <f t="shared" ref="D54:J54" si="12">(D$36*($C$54/100))</f>
        <v>286.6592</v>
      </c>
      <c r="E54" s="68">
        <f t="shared" si="12"/>
        <v>125.40559999999999</v>
      </c>
      <c r="F54" s="68">
        <f t="shared" si="12"/>
        <v>125.40559999999999</v>
      </c>
      <c r="G54" s="68">
        <f t="shared" si="12"/>
        <v>139.27825966704799</v>
      </c>
      <c r="H54" s="68">
        <f t="shared" si="12"/>
        <v>233.26880000000003</v>
      </c>
      <c r="I54" s="68">
        <f t="shared" si="12"/>
        <v>233.26880000000003</v>
      </c>
      <c r="J54" s="68">
        <f t="shared" si="12"/>
        <v>259.07353817230404</v>
      </c>
    </row>
    <row r="55" spans="1:10" ht="15" thickBot="1">
      <c r="A55" s="18"/>
      <c r="B55" s="31" t="s">
        <v>46</v>
      </c>
      <c r="C55" s="29">
        <f t="shared" ref="C55:J55" si="13">SUM(C47:C54)</f>
        <v>39.799999999999997</v>
      </c>
      <c r="D55" s="32">
        <f t="shared" si="13"/>
        <v>1426.1295200000002</v>
      </c>
      <c r="E55" s="32">
        <f t="shared" si="13"/>
        <v>623.89285999999993</v>
      </c>
      <c r="F55" s="32">
        <f t="shared" si="13"/>
        <v>623.89285999999993</v>
      </c>
      <c r="G55" s="32">
        <f t="shared" si="13"/>
        <v>692.90934184356377</v>
      </c>
      <c r="H55" s="32">
        <f t="shared" si="13"/>
        <v>1160.5122800000001</v>
      </c>
      <c r="I55" s="32">
        <f t="shared" si="13"/>
        <v>1160.5122800000001</v>
      </c>
      <c r="J55" s="32">
        <f t="shared" si="13"/>
        <v>1288.8908524072126</v>
      </c>
    </row>
    <row r="56" spans="1:10">
      <c r="A56" s="20"/>
      <c r="B56" s="21" t="s">
        <v>47</v>
      </c>
      <c r="C56" s="20"/>
      <c r="D56" s="20"/>
    </row>
    <row r="57" spans="1:10" ht="15" thickBot="1">
      <c r="A57" s="20"/>
      <c r="B57" s="21"/>
      <c r="C57" s="20"/>
      <c r="D57" s="20"/>
    </row>
    <row r="58" spans="1:10" ht="41.4">
      <c r="A58" s="355" t="s">
        <v>48</v>
      </c>
      <c r="B58" s="356"/>
      <c r="C58" s="356"/>
      <c r="D58" s="55" t="s">
        <v>147</v>
      </c>
      <c r="E58" s="55" t="s">
        <v>277</v>
      </c>
      <c r="F58" s="55" t="s">
        <v>334</v>
      </c>
      <c r="G58" s="55" t="s">
        <v>361</v>
      </c>
      <c r="H58" s="55" t="s">
        <v>335</v>
      </c>
      <c r="I58" s="55" t="s">
        <v>272</v>
      </c>
      <c r="J58" s="55" t="s">
        <v>273</v>
      </c>
    </row>
    <row r="59" spans="1:10">
      <c r="A59" s="105" t="s">
        <v>49</v>
      </c>
      <c r="B59" s="357" t="s">
        <v>50</v>
      </c>
      <c r="C59" s="357"/>
      <c r="D59" s="62" t="s">
        <v>10</v>
      </c>
      <c r="E59" s="62" t="s">
        <v>10</v>
      </c>
      <c r="F59" s="62" t="s">
        <v>10</v>
      </c>
      <c r="G59" s="62" t="s">
        <v>10</v>
      </c>
      <c r="H59" s="62" t="s">
        <v>10</v>
      </c>
      <c r="I59" s="62" t="s">
        <v>10</v>
      </c>
      <c r="J59" s="62" t="s">
        <v>10</v>
      </c>
    </row>
    <row r="60" spans="1:10">
      <c r="A60" s="106" t="s">
        <v>11</v>
      </c>
      <c r="B60" s="366" t="s">
        <v>219</v>
      </c>
      <c r="C60" s="366"/>
      <c r="D60" s="74">
        <f>(4.45*4*A20)-(6%*D20)</f>
        <v>156.6696</v>
      </c>
      <c r="E60" s="74">
        <f>(4.45*4*A21)-(6%*D21)</f>
        <v>277.60980000000001</v>
      </c>
      <c r="F60" s="74">
        <f>(4.45*4*A22)-(6%*D22)</f>
        <v>176.68380000000002</v>
      </c>
      <c r="G60" s="74">
        <f>(4.45*4*A23)-(6%*D23)</f>
        <v>176.68380000000002</v>
      </c>
      <c r="H60" s="74">
        <f>(4.45*4*A24)-(6%*D24)</f>
        <v>196.71239999999997</v>
      </c>
      <c r="I60" s="74">
        <f>(4.45*4*A25)-(6%*D25)</f>
        <v>95.786399999999986</v>
      </c>
      <c r="J60" s="74">
        <f>(4.45*4*A26)-(6%*D26)</f>
        <v>95.786399999999986</v>
      </c>
    </row>
    <row r="61" spans="1:10">
      <c r="A61" s="106" t="s">
        <v>13</v>
      </c>
      <c r="B61" s="365" t="s">
        <v>218</v>
      </c>
      <c r="C61" s="365"/>
      <c r="D61" s="74">
        <v>330</v>
      </c>
      <c r="E61" s="74">
        <v>330</v>
      </c>
      <c r="F61" s="74">
        <f>16.5*A22</f>
        <v>250.965</v>
      </c>
      <c r="G61" s="74">
        <v>330</v>
      </c>
      <c r="H61" s="74">
        <v>330</v>
      </c>
      <c r="I61" s="74">
        <v>330</v>
      </c>
      <c r="J61" s="74">
        <v>330</v>
      </c>
    </row>
    <row r="62" spans="1:10">
      <c r="A62" s="106" t="s">
        <v>15</v>
      </c>
      <c r="B62" s="365" t="s">
        <v>356</v>
      </c>
      <c r="C62" s="365"/>
      <c r="D62" s="74">
        <v>2.4700000000000002</v>
      </c>
      <c r="E62" s="74">
        <v>2.4700000000000002</v>
      </c>
      <c r="F62" s="74">
        <v>2.4700000000000002</v>
      </c>
      <c r="G62" s="74">
        <v>2.4700000000000002</v>
      </c>
      <c r="H62" s="74">
        <v>2.4700000000000002</v>
      </c>
      <c r="I62" s="74">
        <v>2.4700000000000002</v>
      </c>
      <c r="J62" s="74">
        <v>2.4700000000000002</v>
      </c>
    </row>
    <row r="63" spans="1:10" ht="15" thickBot="1">
      <c r="A63" s="18"/>
      <c r="B63" s="367" t="s">
        <v>51</v>
      </c>
      <c r="C63" s="367"/>
      <c r="D63" s="19">
        <f t="shared" ref="D63:J63" si="14">SUM(D60:D62)</f>
        <v>489.13960000000003</v>
      </c>
      <c r="E63" s="19">
        <f t="shared" si="14"/>
        <v>610.07979999999998</v>
      </c>
      <c r="F63" s="19">
        <f t="shared" si="14"/>
        <v>430.11880000000008</v>
      </c>
      <c r="G63" s="19">
        <f t="shared" si="14"/>
        <v>509.15380000000005</v>
      </c>
      <c r="H63" s="19">
        <f t="shared" si="14"/>
        <v>529.18240000000003</v>
      </c>
      <c r="I63" s="19">
        <f t="shared" si="14"/>
        <v>428.25639999999999</v>
      </c>
      <c r="J63" s="19">
        <f t="shared" si="14"/>
        <v>428.25639999999999</v>
      </c>
    </row>
    <row r="64" spans="1:10" ht="15" thickBot="1">
      <c r="A64" s="20"/>
      <c r="B64" s="22"/>
      <c r="C64" s="23"/>
      <c r="D64" s="23"/>
    </row>
    <row r="65" spans="1:10" ht="41.4">
      <c r="A65" s="369" t="s">
        <v>52</v>
      </c>
      <c r="B65" s="370"/>
      <c r="C65" s="370"/>
      <c r="D65" s="55" t="s">
        <v>147</v>
      </c>
      <c r="E65" s="55" t="s">
        <v>277</v>
      </c>
      <c r="F65" s="55" t="s">
        <v>334</v>
      </c>
      <c r="G65" s="55" t="s">
        <v>361</v>
      </c>
      <c r="H65" s="55" t="s">
        <v>335</v>
      </c>
      <c r="I65" s="55" t="s">
        <v>272</v>
      </c>
      <c r="J65" s="55" t="s">
        <v>273</v>
      </c>
    </row>
    <row r="66" spans="1:10">
      <c r="A66" s="59">
        <v>2</v>
      </c>
      <c r="B66" s="357" t="s">
        <v>53</v>
      </c>
      <c r="C66" s="357"/>
      <c r="D66" s="58" t="s">
        <v>27</v>
      </c>
      <c r="E66" s="58" t="s">
        <v>27</v>
      </c>
      <c r="F66" s="58" t="s">
        <v>27</v>
      </c>
      <c r="G66" s="58" t="s">
        <v>27</v>
      </c>
      <c r="H66" s="58" t="s">
        <v>27</v>
      </c>
      <c r="I66" s="58" t="s">
        <v>27</v>
      </c>
      <c r="J66" s="58" t="s">
        <v>27</v>
      </c>
    </row>
    <row r="67" spans="1:10">
      <c r="A67" s="59" t="s">
        <v>25</v>
      </c>
      <c r="B67" s="365" t="s">
        <v>26</v>
      </c>
      <c r="C67" s="365"/>
      <c r="D67" s="60">
        <f t="shared" ref="D67:J67" si="15">D42</f>
        <v>732.05593199999998</v>
      </c>
      <c r="E67" s="60">
        <f t="shared" si="15"/>
        <v>320.25455099999999</v>
      </c>
      <c r="F67" s="60">
        <f t="shared" si="15"/>
        <v>320.25455099999999</v>
      </c>
      <c r="G67" s="60">
        <f t="shared" si="15"/>
        <v>355.68185562472377</v>
      </c>
      <c r="H67" s="60">
        <f t="shared" si="15"/>
        <v>595.71019799999999</v>
      </c>
      <c r="I67" s="60">
        <f t="shared" si="15"/>
        <v>595.71019799999999</v>
      </c>
      <c r="J67" s="60">
        <f t="shared" si="15"/>
        <v>661.6090481075214</v>
      </c>
    </row>
    <row r="68" spans="1:10">
      <c r="A68" s="59" t="s">
        <v>33</v>
      </c>
      <c r="B68" s="365" t="s">
        <v>34</v>
      </c>
      <c r="C68" s="365"/>
      <c r="D68" s="60">
        <f t="shared" ref="D68:J68" si="16">D55+D43</f>
        <v>1706.3388880000002</v>
      </c>
      <c r="E68" s="60">
        <f t="shared" si="16"/>
        <v>746.47683399999994</v>
      </c>
      <c r="F68" s="60">
        <f t="shared" si="16"/>
        <v>746.47683399999994</v>
      </c>
      <c r="G68" s="60">
        <f t="shared" si="16"/>
        <v>829.05384066810325</v>
      </c>
      <c r="H68" s="60">
        <f t="shared" si="16"/>
        <v>1388.5325320000002</v>
      </c>
      <c r="I68" s="60">
        <f t="shared" si="16"/>
        <v>1388.5325320000002</v>
      </c>
      <c r="J68" s="60">
        <f t="shared" si="16"/>
        <v>1542.1352359706398</v>
      </c>
    </row>
    <row r="69" spans="1:10">
      <c r="A69" s="59" t="s">
        <v>49</v>
      </c>
      <c r="B69" s="365" t="s">
        <v>50</v>
      </c>
      <c r="C69" s="365"/>
      <c r="D69" s="60">
        <f t="shared" ref="D69:J69" si="17">D63</f>
        <v>489.13960000000003</v>
      </c>
      <c r="E69" s="60">
        <f t="shared" si="17"/>
        <v>610.07979999999998</v>
      </c>
      <c r="F69" s="60">
        <f t="shared" si="17"/>
        <v>430.11880000000008</v>
      </c>
      <c r="G69" s="60">
        <f t="shared" si="17"/>
        <v>509.15380000000005</v>
      </c>
      <c r="H69" s="60">
        <f t="shared" si="17"/>
        <v>529.18240000000003</v>
      </c>
      <c r="I69" s="60">
        <f t="shared" si="17"/>
        <v>428.25639999999999</v>
      </c>
      <c r="J69" s="60">
        <f t="shared" si="17"/>
        <v>428.25639999999999</v>
      </c>
    </row>
    <row r="70" spans="1:10" ht="15" thickBot="1">
      <c r="A70" s="35"/>
      <c r="B70" s="367" t="s">
        <v>30</v>
      </c>
      <c r="C70" s="367"/>
      <c r="D70" s="19">
        <f t="shared" ref="D70:J70" si="18">SUM(D67:D69)</f>
        <v>2927.5344200000004</v>
      </c>
      <c r="E70" s="19">
        <f t="shared" si="18"/>
        <v>1676.811185</v>
      </c>
      <c r="F70" s="19">
        <f t="shared" si="18"/>
        <v>1496.8501850000002</v>
      </c>
      <c r="G70" s="19">
        <f t="shared" si="18"/>
        <v>1693.8894962928271</v>
      </c>
      <c r="H70" s="19">
        <f t="shared" si="18"/>
        <v>2513.4251300000001</v>
      </c>
      <c r="I70" s="19">
        <f t="shared" si="18"/>
        <v>2412.4991300000002</v>
      </c>
      <c r="J70" s="19">
        <f t="shared" si="18"/>
        <v>2632.0006840781616</v>
      </c>
    </row>
    <row r="71" spans="1:10" ht="15" thickBot="1">
      <c r="A71" s="9"/>
      <c r="B71" s="24"/>
      <c r="C71" s="23"/>
      <c r="D71" s="23"/>
    </row>
    <row r="72" spans="1:10" ht="41.4">
      <c r="A72" s="369" t="s">
        <v>54</v>
      </c>
      <c r="B72" s="370"/>
      <c r="C72" s="370"/>
      <c r="D72" s="55" t="s">
        <v>147</v>
      </c>
      <c r="E72" s="55" t="s">
        <v>277</v>
      </c>
      <c r="F72" s="55" t="s">
        <v>334</v>
      </c>
      <c r="G72" s="55" t="s">
        <v>361</v>
      </c>
      <c r="H72" s="55" t="s">
        <v>335</v>
      </c>
      <c r="I72" s="55" t="s">
        <v>272</v>
      </c>
      <c r="J72" s="55" t="s">
        <v>273</v>
      </c>
    </row>
    <row r="73" spans="1:10">
      <c r="A73" s="105">
        <v>3</v>
      </c>
      <c r="B73" s="375" t="s">
        <v>55</v>
      </c>
      <c r="C73" s="375"/>
      <c r="D73" s="65" t="s">
        <v>10</v>
      </c>
      <c r="E73" s="65" t="s">
        <v>10</v>
      </c>
      <c r="F73" s="65" t="s">
        <v>10</v>
      </c>
      <c r="G73" s="65" t="s">
        <v>10</v>
      </c>
      <c r="H73" s="65" t="s">
        <v>10</v>
      </c>
      <c r="I73" s="65" t="s">
        <v>10</v>
      </c>
      <c r="J73" s="65" t="s">
        <v>10</v>
      </c>
    </row>
    <row r="74" spans="1:10">
      <c r="A74" s="106" t="s">
        <v>11</v>
      </c>
      <c r="B74" s="358" t="s">
        <v>56</v>
      </c>
      <c r="C74" s="358"/>
      <c r="D74" s="68">
        <f t="shared" ref="D74:J74" si="19">((D36+D40+D41)/12)*5%</f>
        <v>17.980399716666668</v>
      </c>
      <c r="E74" s="68">
        <f t="shared" si="19"/>
        <v>7.8659356291666676</v>
      </c>
      <c r="F74" s="68">
        <f t="shared" si="19"/>
        <v>7.8659356291666676</v>
      </c>
      <c r="G74" s="68">
        <f t="shared" si="19"/>
        <v>8.7360837560950984</v>
      </c>
      <c r="H74" s="68">
        <f t="shared" si="19"/>
        <v>14.631542491666668</v>
      </c>
      <c r="I74" s="68">
        <f t="shared" si="19"/>
        <v>14.631542491666668</v>
      </c>
      <c r="J74" s="68">
        <f t="shared" si="19"/>
        <v>16.25011781358884</v>
      </c>
    </row>
    <row r="75" spans="1:10">
      <c r="A75" s="106" t="s">
        <v>13</v>
      </c>
      <c r="B75" s="358" t="s">
        <v>57</v>
      </c>
      <c r="C75" s="358"/>
      <c r="D75" s="68">
        <f t="shared" ref="D75:J75" si="20">((D36+D40)/12)*5%*8%</f>
        <v>1.293907964</v>
      </c>
      <c r="E75" s="68">
        <f t="shared" si="20"/>
        <v>0.56604952700000011</v>
      </c>
      <c r="F75" s="68">
        <f t="shared" si="20"/>
        <v>0.56604952700000011</v>
      </c>
      <c r="G75" s="68">
        <f t="shared" si="20"/>
        <v>0.62866724457213796</v>
      </c>
      <c r="H75" s="68">
        <f t="shared" si="20"/>
        <v>1.0529170460000001</v>
      </c>
      <c r="I75" s="68">
        <f t="shared" si="20"/>
        <v>1.0529170460000001</v>
      </c>
      <c r="J75" s="68">
        <f t="shared" si="20"/>
        <v>1.1693931829252373</v>
      </c>
    </row>
    <row r="76" spans="1:10">
      <c r="A76" s="106" t="s">
        <v>15</v>
      </c>
      <c r="B76" s="358" t="s">
        <v>58</v>
      </c>
      <c r="C76" s="358"/>
      <c r="D76" s="68">
        <v>0</v>
      </c>
      <c r="E76" s="68">
        <v>0</v>
      </c>
      <c r="F76" s="68">
        <v>0</v>
      </c>
      <c r="G76" s="68">
        <v>0</v>
      </c>
      <c r="H76" s="68">
        <v>0</v>
      </c>
      <c r="I76" s="68">
        <v>0</v>
      </c>
      <c r="J76" s="68">
        <v>0</v>
      </c>
    </row>
    <row r="77" spans="1:10">
      <c r="A77" s="106" t="s">
        <v>16</v>
      </c>
      <c r="B77" s="358" t="s">
        <v>59</v>
      </c>
      <c r="C77" s="358"/>
      <c r="D77" s="68">
        <f t="shared" ref="D77:J77" si="21">(((D36+D62)/30/12)*7)</f>
        <v>69.722138888888892</v>
      </c>
      <c r="E77" s="68">
        <f t="shared" si="21"/>
        <v>30.528555555555553</v>
      </c>
      <c r="F77" s="68">
        <f t="shared" si="21"/>
        <v>30.528555555555553</v>
      </c>
      <c r="G77" s="68">
        <f t="shared" si="21"/>
        <v>33.900382557963056</v>
      </c>
      <c r="H77" s="68">
        <f t="shared" si="21"/>
        <v>56.745305555555547</v>
      </c>
      <c r="I77" s="68">
        <f t="shared" si="21"/>
        <v>56.745305555555547</v>
      </c>
      <c r="J77" s="68">
        <f t="shared" si="21"/>
        <v>63.017290527990554</v>
      </c>
    </row>
    <row r="78" spans="1:10" ht="24" customHeight="1">
      <c r="A78" s="106" t="s">
        <v>18</v>
      </c>
      <c r="B78" s="358" t="s">
        <v>60</v>
      </c>
      <c r="C78" s="358"/>
      <c r="D78" s="68">
        <f t="shared" ref="D78:J78" si="22">(D36/30/12*7)*8%</f>
        <v>5.5739288888888892</v>
      </c>
      <c r="E78" s="68">
        <f t="shared" si="22"/>
        <v>2.4384422222222226</v>
      </c>
      <c r="F78" s="68">
        <f t="shared" si="22"/>
        <v>2.4384422222222226</v>
      </c>
      <c r="G78" s="68">
        <f t="shared" si="22"/>
        <v>2.7081883824148218</v>
      </c>
      <c r="H78" s="68">
        <f t="shared" si="22"/>
        <v>4.5357822222222222</v>
      </c>
      <c r="I78" s="68">
        <f t="shared" si="22"/>
        <v>4.5357822222222222</v>
      </c>
      <c r="J78" s="68">
        <f t="shared" si="22"/>
        <v>5.0375410200170228</v>
      </c>
    </row>
    <row r="79" spans="1:10">
      <c r="A79" s="106" t="s">
        <v>20</v>
      </c>
      <c r="B79" s="358" t="s">
        <v>61</v>
      </c>
      <c r="C79" s="358"/>
      <c r="D79" s="68">
        <f t="shared" ref="D79:J79" si="23">D36*4%</f>
        <v>143.3296</v>
      </c>
      <c r="E79" s="68">
        <f t="shared" si="23"/>
        <v>62.702799999999996</v>
      </c>
      <c r="F79" s="68">
        <f t="shared" si="23"/>
        <v>62.702799999999996</v>
      </c>
      <c r="G79" s="68">
        <f t="shared" si="23"/>
        <v>69.639129833523995</v>
      </c>
      <c r="H79" s="68">
        <f t="shared" si="23"/>
        <v>116.63440000000001</v>
      </c>
      <c r="I79" s="68">
        <f t="shared" si="23"/>
        <v>116.63440000000001</v>
      </c>
      <c r="J79" s="68">
        <f t="shared" si="23"/>
        <v>129.53676908615202</v>
      </c>
    </row>
    <row r="80" spans="1:10" ht="15" thickBot="1">
      <c r="A80" s="18"/>
      <c r="B80" s="376" t="s">
        <v>46</v>
      </c>
      <c r="C80" s="376"/>
      <c r="D80" s="32">
        <f t="shared" ref="D80:J80" si="24">SUM(D74:D79)</f>
        <v>237.89997545844443</v>
      </c>
      <c r="E80" s="32">
        <f t="shared" si="24"/>
        <v>104.10178293394443</v>
      </c>
      <c r="F80" s="32">
        <f t="shared" si="24"/>
        <v>104.10178293394443</v>
      </c>
      <c r="G80" s="32">
        <f t="shared" si="24"/>
        <v>115.61245177456911</v>
      </c>
      <c r="H80" s="32">
        <f t="shared" si="24"/>
        <v>193.59994731544447</v>
      </c>
      <c r="I80" s="32">
        <f t="shared" si="24"/>
        <v>193.59994731544447</v>
      </c>
      <c r="J80" s="32">
        <f t="shared" si="24"/>
        <v>215.01111163067367</v>
      </c>
    </row>
    <row r="81" spans="1:10" ht="15" thickBot="1">
      <c r="A81" s="9"/>
      <c r="B81" s="9"/>
      <c r="C81" s="9"/>
      <c r="D81" s="9"/>
    </row>
    <row r="82" spans="1:10" ht="41.4">
      <c r="A82" s="369" t="s">
        <v>62</v>
      </c>
      <c r="B82" s="370"/>
      <c r="C82" s="370"/>
      <c r="D82" s="55" t="s">
        <v>147</v>
      </c>
      <c r="E82" s="55" t="s">
        <v>277</v>
      </c>
      <c r="F82" s="55" t="s">
        <v>334</v>
      </c>
      <c r="G82" s="55" t="s">
        <v>361</v>
      </c>
      <c r="H82" s="55" t="s">
        <v>335</v>
      </c>
      <c r="I82" s="55" t="s">
        <v>272</v>
      </c>
      <c r="J82" s="55" t="s">
        <v>273</v>
      </c>
    </row>
    <row r="83" spans="1:10">
      <c r="A83" s="105" t="s">
        <v>63</v>
      </c>
      <c r="B83" s="375" t="s">
        <v>141</v>
      </c>
      <c r="C83" s="375"/>
      <c r="D83" s="65" t="s">
        <v>10</v>
      </c>
      <c r="E83" s="65" t="s">
        <v>10</v>
      </c>
      <c r="F83" s="65" t="s">
        <v>10</v>
      </c>
      <c r="G83" s="65" t="s">
        <v>10</v>
      </c>
      <c r="H83" s="65" t="s">
        <v>10</v>
      </c>
      <c r="I83" s="65" t="s">
        <v>10</v>
      </c>
      <c r="J83" s="65" t="s">
        <v>10</v>
      </c>
    </row>
    <row r="84" spans="1:10">
      <c r="A84" s="106" t="s">
        <v>11</v>
      </c>
      <c r="B84" s="377" t="s">
        <v>65</v>
      </c>
      <c r="C84" s="377"/>
      <c r="D84" s="68">
        <v>0</v>
      </c>
      <c r="E84" s="68">
        <v>0</v>
      </c>
      <c r="F84" s="68">
        <v>0</v>
      </c>
      <c r="G84" s="68">
        <v>0</v>
      </c>
      <c r="H84" s="68">
        <v>0</v>
      </c>
      <c r="I84" s="68">
        <v>0</v>
      </c>
      <c r="J84" s="68">
        <v>0</v>
      </c>
    </row>
    <row r="85" spans="1:10">
      <c r="A85" s="106" t="s">
        <v>13</v>
      </c>
      <c r="B85" s="377" t="s">
        <v>66</v>
      </c>
      <c r="C85" s="377"/>
      <c r="D85" s="68">
        <f>(((D36+D70+D80+D88+D109)-(D60-D61-D106-D107))/30*2.96)/12</f>
        <v>61.994176344857586</v>
      </c>
      <c r="E85" s="68">
        <f t="shared" ref="E85:J85" si="25">(((E36+E70+E80+E88+E109)-(E60-E61-E106-E107))/30*2.96)/12</f>
        <v>36.287644446285661</v>
      </c>
      <c r="F85" s="68">
        <f t="shared" si="25"/>
        <v>34.987957779618988</v>
      </c>
      <c r="G85" s="68">
        <f t="shared" si="25"/>
        <v>38.785142885286909</v>
      </c>
      <c r="H85" s="68">
        <f t="shared" si="25"/>
        <v>55.70628370444917</v>
      </c>
      <c r="I85" s="68">
        <f t="shared" si="25"/>
        <v>55.70628370444917</v>
      </c>
      <c r="J85" s="68">
        <f t="shared" si="25"/>
        <v>60.351917263617956</v>
      </c>
    </row>
    <row r="86" spans="1:10">
      <c r="A86" s="106" t="s">
        <v>15</v>
      </c>
      <c r="B86" s="377" t="s">
        <v>67</v>
      </c>
      <c r="C86" s="377"/>
      <c r="D86" s="68">
        <f t="shared" ref="D86:J86" si="26">(((D36+D70+D80+D88+D109)-(D60-D61-D106-D107))/30*5*1.5%)/12</f>
        <v>1.5707983871163238</v>
      </c>
      <c r="E86" s="68">
        <f t="shared" si="26"/>
        <v>0.91945045049710294</v>
      </c>
      <c r="F86" s="68">
        <f t="shared" si="26"/>
        <v>0.88651920049710264</v>
      </c>
      <c r="G86" s="68">
        <f t="shared" si="26"/>
        <v>0.98273166094476971</v>
      </c>
      <c r="H86" s="68">
        <f t="shared" si="26"/>
        <v>1.4114767830519215</v>
      </c>
      <c r="I86" s="68">
        <f t="shared" si="26"/>
        <v>1.4114767830519215</v>
      </c>
      <c r="J86" s="68">
        <f t="shared" si="26"/>
        <v>1.5291870928281577</v>
      </c>
    </row>
    <row r="87" spans="1:10">
      <c r="A87" s="106" t="s">
        <v>16</v>
      </c>
      <c r="B87" s="377" t="s">
        <v>68</v>
      </c>
      <c r="C87" s="377"/>
      <c r="D87" s="68">
        <f t="shared" ref="D87:J87" si="27">(((D36+D70+D80+D88+D109)-(D60-D61-D106-D107))/30*15*0.78%)/12</f>
        <v>2.4504454839014653</v>
      </c>
      <c r="E87" s="68">
        <f t="shared" si="27"/>
        <v>1.4343427027754805</v>
      </c>
      <c r="F87" s="68">
        <f t="shared" si="27"/>
        <v>1.3829699527754802</v>
      </c>
      <c r="G87" s="68">
        <f t="shared" si="27"/>
        <v>1.5330613910738409</v>
      </c>
      <c r="H87" s="68">
        <f t="shared" si="27"/>
        <v>2.2019037815609979</v>
      </c>
      <c r="I87" s="68">
        <f t="shared" si="27"/>
        <v>2.2019037815609979</v>
      </c>
      <c r="J87" s="68">
        <f t="shared" si="27"/>
        <v>2.3855318648119259</v>
      </c>
    </row>
    <row r="88" spans="1:10">
      <c r="A88" s="106" t="s">
        <v>18</v>
      </c>
      <c r="B88" s="377" t="s">
        <v>69</v>
      </c>
      <c r="C88" s="377"/>
      <c r="D88" s="68">
        <f>(((D41*3.95/12)+(D62*3.95*1.02%))/12+((D36+D40)*39.8%*3.95)*1.02%/12)</f>
        <v>17.088504366576775</v>
      </c>
      <c r="E88" s="68">
        <f>(((E41*3.95/12)+(E62*3.95*1.02%))/12+((E36+E40)*39.8%*3.95)*1.02%/12)</f>
        <v>7.4804207342004734</v>
      </c>
      <c r="F88" s="68">
        <f t="shared" ref="F88:I88" si="28">(((F41*3.95/12)+(F62*3.95*1.02%))/12+((F36+F40)*39.8%*3.95)*1.02%/12)</f>
        <v>7.4804207342004734</v>
      </c>
      <c r="G88" s="68">
        <f t="shared" si="28"/>
        <v>8.307004911449793</v>
      </c>
      <c r="H88" s="68">
        <f t="shared" si="28"/>
        <v>13.907307615831218</v>
      </c>
      <c r="I88" s="68">
        <f t="shared" si="28"/>
        <v>13.907307615831218</v>
      </c>
      <c r="J88" s="68">
        <f>(((J41*3.95/12)+(J62*3.95*1.02%))/12+((J36+J40)*39.8%*3.95)*1.02%/12)</f>
        <v>15.444848994572968</v>
      </c>
    </row>
    <row r="89" spans="1:10">
      <c r="A89" s="106" t="s">
        <v>20</v>
      </c>
      <c r="B89" s="377" t="s">
        <v>70</v>
      </c>
      <c r="C89" s="377"/>
      <c r="D89" s="68">
        <v>0</v>
      </c>
      <c r="E89" s="68">
        <v>0</v>
      </c>
      <c r="F89" s="68">
        <v>0</v>
      </c>
      <c r="G89" s="68">
        <v>0</v>
      </c>
      <c r="H89" s="68">
        <v>0</v>
      </c>
      <c r="I89" s="68">
        <v>0</v>
      </c>
      <c r="J89" s="68">
        <v>0</v>
      </c>
    </row>
    <row r="90" spans="1:10" ht="15" thickBot="1">
      <c r="A90" s="18"/>
      <c r="B90" s="376" t="s">
        <v>46</v>
      </c>
      <c r="C90" s="376"/>
      <c r="D90" s="32">
        <f t="shared" ref="D90:J90" si="29">SUM(D84:D89)</f>
        <v>83.103924582452152</v>
      </c>
      <c r="E90" s="32">
        <f t="shared" si="29"/>
        <v>46.121858333758716</v>
      </c>
      <c r="F90" s="32">
        <f t="shared" si="29"/>
        <v>44.737867667092047</v>
      </c>
      <c r="G90" s="32">
        <f t="shared" si="29"/>
        <v>49.60794084875532</v>
      </c>
      <c r="H90" s="32">
        <f t="shared" si="29"/>
        <v>73.226971884893317</v>
      </c>
      <c r="I90" s="32">
        <f t="shared" si="29"/>
        <v>73.226971884893317</v>
      </c>
      <c r="J90" s="32">
        <f t="shared" si="29"/>
        <v>79.711485215831004</v>
      </c>
    </row>
    <row r="91" spans="1:10" ht="15" thickBot="1">
      <c r="A91" s="20"/>
      <c r="B91" s="20"/>
      <c r="C91" s="20"/>
      <c r="D91" s="9"/>
    </row>
    <row r="92" spans="1:10" ht="41.4">
      <c r="A92" s="378" t="s">
        <v>71</v>
      </c>
      <c r="B92" s="379"/>
      <c r="C92" s="379"/>
      <c r="D92" s="55" t="s">
        <v>147</v>
      </c>
      <c r="E92" s="55" t="s">
        <v>277</v>
      </c>
      <c r="F92" s="55" t="s">
        <v>334</v>
      </c>
      <c r="G92" s="55" t="s">
        <v>361</v>
      </c>
      <c r="H92" s="55" t="s">
        <v>335</v>
      </c>
      <c r="I92" s="55" t="s">
        <v>272</v>
      </c>
      <c r="J92" s="55" t="s">
        <v>273</v>
      </c>
    </row>
    <row r="93" spans="1:10">
      <c r="A93" s="117" t="s">
        <v>72</v>
      </c>
      <c r="B93" s="380" t="s">
        <v>73</v>
      </c>
      <c r="C93" s="380"/>
      <c r="D93" s="118" t="s">
        <v>10</v>
      </c>
      <c r="E93" s="118" t="s">
        <v>10</v>
      </c>
      <c r="F93" s="118" t="s">
        <v>10</v>
      </c>
      <c r="G93" s="118" t="s">
        <v>10</v>
      </c>
      <c r="H93" s="118" t="s">
        <v>10</v>
      </c>
      <c r="I93" s="118" t="s">
        <v>10</v>
      </c>
      <c r="J93" s="118" t="s">
        <v>10</v>
      </c>
    </row>
    <row r="94" spans="1:10">
      <c r="A94" s="119" t="s">
        <v>11</v>
      </c>
      <c r="B94" s="381" t="s">
        <v>74</v>
      </c>
      <c r="C94" s="381"/>
      <c r="D94" s="120">
        <v>0</v>
      </c>
      <c r="E94" s="120">
        <v>0</v>
      </c>
      <c r="F94" s="120">
        <v>0</v>
      </c>
      <c r="G94" s="120">
        <v>0</v>
      </c>
      <c r="H94" s="120">
        <v>0</v>
      </c>
      <c r="I94" s="120">
        <v>0</v>
      </c>
      <c r="J94" s="120">
        <v>0</v>
      </c>
    </row>
    <row r="95" spans="1:10" ht="15" thickBot="1">
      <c r="A95" s="121"/>
      <c r="B95" s="382" t="s">
        <v>46</v>
      </c>
      <c r="C95" s="382"/>
      <c r="D95" s="122">
        <v>0</v>
      </c>
      <c r="E95" s="122">
        <v>0</v>
      </c>
      <c r="F95" s="122">
        <v>0</v>
      </c>
      <c r="G95" s="122">
        <v>0</v>
      </c>
      <c r="H95" s="122">
        <v>0</v>
      </c>
      <c r="I95" s="122">
        <v>0</v>
      </c>
      <c r="J95" s="122">
        <v>0</v>
      </c>
    </row>
    <row r="96" spans="1:10" ht="15" thickBot="1">
      <c r="A96" s="20"/>
      <c r="B96" s="20"/>
      <c r="C96" s="20"/>
      <c r="D96" s="9"/>
    </row>
    <row r="97" spans="1:10" ht="41.4">
      <c r="A97" s="369" t="s">
        <v>75</v>
      </c>
      <c r="B97" s="370"/>
      <c r="C97" s="370"/>
      <c r="D97" s="55" t="s">
        <v>147</v>
      </c>
      <c r="E97" s="55" t="s">
        <v>277</v>
      </c>
      <c r="F97" s="55" t="s">
        <v>334</v>
      </c>
      <c r="G97" s="55" t="s">
        <v>361</v>
      </c>
      <c r="H97" s="55" t="s">
        <v>335</v>
      </c>
      <c r="I97" s="55" t="s">
        <v>272</v>
      </c>
      <c r="J97" s="55" t="s">
        <v>273</v>
      </c>
    </row>
    <row r="98" spans="1:10">
      <c r="A98" s="57">
        <v>4</v>
      </c>
      <c r="B98" s="357" t="s">
        <v>76</v>
      </c>
      <c r="C98" s="357"/>
      <c r="D98" s="58" t="s">
        <v>27</v>
      </c>
      <c r="E98" s="58" t="s">
        <v>27</v>
      </c>
      <c r="F98" s="58" t="s">
        <v>27</v>
      </c>
      <c r="G98" s="58" t="s">
        <v>27</v>
      </c>
      <c r="H98" s="58" t="s">
        <v>27</v>
      </c>
      <c r="I98" s="58" t="s">
        <v>27</v>
      </c>
      <c r="J98" s="58" t="s">
        <v>27</v>
      </c>
    </row>
    <row r="99" spans="1:10">
      <c r="A99" s="59" t="s">
        <v>63</v>
      </c>
      <c r="B99" s="365" t="s">
        <v>64</v>
      </c>
      <c r="C99" s="365"/>
      <c r="D99" s="60">
        <f t="shared" ref="D99:J99" si="30">D90</f>
        <v>83.103924582452152</v>
      </c>
      <c r="E99" s="60">
        <f t="shared" si="30"/>
        <v>46.121858333758716</v>
      </c>
      <c r="F99" s="60">
        <f t="shared" si="30"/>
        <v>44.737867667092047</v>
      </c>
      <c r="G99" s="60">
        <f t="shared" si="30"/>
        <v>49.60794084875532</v>
      </c>
      <c r="H99" s="60">
        <f t="shared" si="30"/>
        <v>73.226971884893317</v>
      </c>
      <c r="I99" s="60">
        <f t="shared" si="30"/>
        <v>73.226971884893317</v>
      </c>
      <c r="J99" s="60">
        <f t="shared" si="30"/>
        <v>79.711485215831004</v>
      </c>
    </row>
    <row r="100" spans="1:10">
      <c r="A100" s="59" t="s">
        <v>72</v>
      </c>
      <c r="B100" s="365" t="s">
        <v>73</v>
      </c>
      <c r="C100" s="365"/>
      <c r="D100" s="60">
        <v>0</v>
      </c>
      <c r="E100" s="60">
        <v>0</v>
      </c>
      <c r="F100" s="60">
        <v>0</v>
      </c>
      <c r="G100" s="60">
        <v>0</v>
      </c>
      <c r="H100" s="60">
        <v>0</v>
      </c>
      <c r="I100" s="60">
        <v>0</v>
      </c>
      <c r="J100" s="60">
        <v>0</v>
      </c>
    </row>
    <row r="101" spans="1:10" ht="15" thickBot="1">
      <c r="A101" s="18"/>
      <c r="B101" s="367" t="s">
        <v>30</v>
      </c>
      <c r="C101" s="367"/>
      <c r="D101" s="19">
        <f t="shared" ref="D101:J101" si="31">SUM(D99:D100)</f>
        <v>83.103924582452152</v>
      </c>
      <c r="E101" s="19">
        <f t="shared" si="31"/>
        <v>46.121858333758716</v>
      </c>
      <c r="F101" s="19">
        <f t="shared" si="31"/>
        <v>44.737867667092047</v>
      </c>
      <c r="G101" s="19">
        <f t="shared" si="31"/>
        <v>49.60794084875532</v>
      </c>
      <c r="H101" s="19">
        <f t="shared" si="31"/>
        <v>73.226971884893317</v>
      </c>
      <c r="I101" s="19">
        <f t="shared" si="31"/>
        <v>73.226971884893317</v>
      </c>
      <c r="J101" s="19">
        <f t="shared" si="31"/>
        <v>79.711485215831004</v>
      </c>
    </row>
    <row r="102" spans="1:10" ht="15" thickBot="1">
      <c r="A102" s="9"/>
      <c r="B102" s="9"/>
      <c r="C102" s="9"/>
      <c r="D102" s="9"/>
    </row>
    <row r="103" spans="1:10" ht="41.4">
      <c r="A103" s="369" t="s">
        <v>77</v>
      </c>
      <c r="B103" s="370"/>
      <c r="C103" s="370"/>
      <c r="D103" s="55" t="s">
        <v>147</v>
      </c>
      <c r="E103" s="55" t="s">
        <v>277</v>
      </c>
      <c r="F103" s="55" t="s">
        <v>334</v>
      </c>
      <c r="G103" s="55" t="s">
        <v>361</v>
      </c>
      <c r="H103" s="55" t="s">
        <v>335</v>
      </c>
      <c r="I103" s="55" t="s">
        <v>272</v>
      </c>
      <c r="J103" s="55" t="s">
        <v>273</v>
      </c>
    </row>
    <row r="104" spans="1:10">
      <c r="A104" s="61">
        <v>5</v>
      </c>
      <c r="B104" s="357" t="s">
        <v>78</v>
      </c>
      <c r="C104" s="357"/>
      <c r="D104" s="62" t="s">
        <v>10</v>
      </c>
      <c r="E104" s="62" t="s">
        <v>10</v>
      </c>
      <c r="F104" s="62" t="s">
        <v>10</v>
      </c>
      <c r="G104" s="62" t="s">
        <v>10</v>
      </c>
      <c r="H104" s="62" t="s">
        <v>10</v>
      </c>
      <c r="I104" s="62" t="s">
        <v>10</v>
      </c>
      <c r="J104" s="62" t="s">
        <v>10</v>
      </c>
    </row>
    <row r="105" spans="1:10">
      <c r="A105" s="63" t="s">
        <v>11</v>
      </c>
      <c r="B105" s="365" t="s">
        <v>107</v>
      </c>
      <c r="C105" s="365"/>
      <c r="D105" s="201">
        <f>'An IIC Uniformes e EPIS'!F15</f>
        <v>68.343333333333334</v>
      </c>
      <c r="E105" s="201">
        <f>'An IIC Uniformes e EPIS'!G49</f>
        <v>257.2283333333333</v>
      </c>
      <c r="F105" s="201">
        <f>'An IIC Uniformes e EPIS'!G49</f>
        <v>257.2283333333333</v>
      </c>
      <c r="G105" s="201">
        <f>'An IIC Uniformes e EPIS'!G49</f>
        <v>257.2283333333333</v>
      </c>
      <c r="H105" s="201">
        <f>'An IIC Uniformes e EPIS'!G49</f>
        <v>257.2283333333333</v>
      </c>
      <c r="I105" s="201">
        <f>'An IIC Uniformes e EPIS'!G49</f>
        <v>257.2283333333333</v>
      </c>
      <c r="J105" s="201">
        <f>'An IIC Uniformes e EPIS'!G49</f>
        <v>257.2283333333333</v>
      </c>
    </row>
    <row r="106" spans="1:10">
      <c r="A106" s="63" t="s">
        <v>13</v>
      </c>
      <c r="B106" s="383" t="s">
        <v>148</v>
      </c>
      <c r="C106" s="383"/>
      <c r="D106" s="202"/>
      <c r="E106" s="202">
        <f>'An IIC Uniformes e EPIS'!E$58</f>
        <v>107.69230769230768</v>
      </c>
      <c r="F106" s="202">
        <f>'An IIC Uniformes e EPIS'!E58</f>
        <v>107.69230769230768</v>
      </c>
      <c r="G106" s="202">
        <f>'An IIC Uniformes e EPIS'!E58</f>
        <v>107.69230769230768</v>
      </c>
      <c r="H106" s="202">
        <f>'An IIC Uniformes e EPIS'!E58</f>
        <v>107.69230769230768</v>
      </c>
      <c r="I106" s="202">
        <f>'An IIC Uniformes e EPIS'!E58</f>
        <v>107.69230769230768</v>
      </c>
      <c r="J106" s="202">
        <f>'An IIC Uniformes e EPIS'!E58</f>
        <v>107.69230769230768</v>
      </c>
    </row>
    <row r="107" spans="1:10">
      <c r="A107" s="63" t="s">
        <v>15</v>
      </c>
      <c r="B107" s="365" t="s">
        <v>79</v>
      </c>
      <c r="C107" s="365"/>
      <c r="D107" s="201">
        <f>'An IID Equipamentos'!E69</f>
        <v>266.1978125</v>
      </c>
      <c r="E107" s="201">
        <f>'An IID Equipamentos'!E69</f>
        <v>266.1978125</v>
      </c>
      <c r="F107" s="201">
        <f>'An IID Equipamentos'!E69</f>
        <v>266.1978125</v>
      </c>
      <c r="G107" s="201">
        <f>'An IID Equipamentos'!E69</f>
        <v>266.1978125</v>
      </c>
      <c r="H107" s="201">
        <f>'An IID Equipamentos'!E69</f>
        <v>266.1978125</v>
      </c>
      <c r="I107" s="201">
        <f>'An IID Equipamentos'!E69</f>
        <v>266.1978125</v>
      </c>
      <c r="J107" s="201">
        <f>'An IID Equipamentos'!E69</f>
        <v>266.1978125</v>
      </c>
    </row>
    <row r="108" spans="1:10">
      <c r="A108" s="63" t="s">
        <v>16</v>
      </c>
      <c r="B108" s="365" t="s">
        <v>21</v>
      </c>
      <c r="C108" s="365"/>
      <c r="D108" s="208"/>
      <c r="E108" s="208"/>
      <c r="F108" s="208"/>
      <c r="G108" s="208"/>
      <c r="H108" s="208"/>
      <c r="I108" s="208"/>
      <c r="J108" s="208"/>
    </row>
    <row r="109" spans="1:10" ht="15" thickBot="1">
      <c r="A109" s="33"/>
      <c r="B109" s="367" t="s">
        <v>80</v>
      </c>
      <c r="C109" s="367"/>
      <c r="D109" s="32">
        <f t="shared" ref="D109:J109" si="32">SUM(D105:D108)</f>
        <v>334.5411458333333</v>
      </c>
      <c r="E109" s="32">
        <f t="shared" si="32"/>
        <v>631.11845352564092</v>
      </c>
      <c r="F109" s="32">
        <f t="shared" si="32"/>
        <v>631.11845352564092</v>
      </c>
      <c r="G109" s="32">
        <f t="shared" si="32"/>
        <v>631.11845352564092</v>
      </c>
      <c r="H109" s="32">
        <f t="shared" si="32"/>
        <v>631.11845352564092</v>
      </c>
      <c r="I109" s="32">
        <f t="shared" si="32"/>
        <v>631.11845352564092</v>
      </c>
      <c r="J109" s="32">
        <f t="shared" si="32"/>
        <v>631.11845352564092</v>
      </c>
    </row>
    <row r="110" spans="1:10" ht="15" thickBot="1">
      <c r="A110" s="11"/>
      <c r="B110" s="25"/>
      <c r="C110" s="26"/>
      <c r="D110" s="26"/>
    </row>
    <row r="111" spans="1:10" ht="41.4">
      <c r="A111" s="369" t="s">
        <v>81</v>
      </c>
      <c r="B111" s="370"/>
      <c r="C111" s="17"/>
      <c r="D111" s="55" t="s">
        <v>147</v>
      </c>
      <c r="E111" s="55" t="s">
        <v>277</v>
      </c>
      <c r="F111" s="55" t="s">
        <v>334</v>
      </c>
      <c r="G111" s="55" t="s">
        <v>361</v>
      </c>
      <c r="H111" s="55" t="s">
        <v>335</v>
      </c>
      <c r="I111" s="55" t="s">
        <v>272</v>
      </c>
      <c r="J111" s="55" t="s">
        <v>273</v>
      </c>
    </row>
    <row r="112" spans="1:10">
      <c r="A112" s="61">
        <v>6</v>
      </c>
      <c r="B112" s="64" t="s">
        <v>82</v>
      </c>
      <c r="C112" s="65" t="s">
        <v>35</v>
      </c>
      <c r="D112" s="65" t="s">
        <v>10</v>
      </c>
      <c r="E112" s="65" t="s">
        <v>10</v>
      </c>
      <c r="F112" s="65" t="s">
        <v>10</v>
      </c>
      <c r="G112" s="65" t="s">
        <v>10</v>
      </c>
      <c r="H112" s="65" t="s">
        <v>10</v>
      </c>
      <c r="I112" s="65" t="s">
        <v>10</v>
      </c>
      <c r="J112" s="65" t="s">
        <v>10</v>
      </c>
    </row>
    <row r="113" spans="1:10">
      <c r="A113" s="63" t="s">
        <v>11</v>
      </c>
      <c r="B113" s="66" t="s">
        <v>83</v>
      </c>
      <c r="C113" s="67">
        <v>4.8</v>
      </c>
      <c r="D113" s="68">
        <f t="shared" ref="D113:J113" si="33">(D130)*$C$113/100</f>
        <v>343.98333436196305</v>
      </c>
      <c r="E113" s="68">
        <f t="shared" si="33"/>
        <v>193.23471743008048</v>
      </c>
      <c r="F113" s="68">
        <f t="shared" si="33"/>
        <v>184.5301578780805</v>
      </c>
      <c r="G113" s="68">
        <f t="shared" si="33"/>
        <v>203.09791623743484</v>
      </c>
      <c r="H113" s="68">
        <f t="shared" si="33"/>
        <v>303.7070641308469</v>
      </c>
      <c r="I113" s="68">
        <f t="shared" si="33"/>
        <v>298.86261613084696</v>
      </c>
      <c r="J113" s="68">
        <f t="shared" si="33"/>
        <v>326.22052615699715</v>
      </c>
    </row>
    <row r="114" spans="1:10">
      <c r="A114" s="63" t="s">
        <v>13</v>
      </c>
      <c r="B114" s="66" t="s">
        <v>84</v>
      </c>
      <c r="C114" s="67">
        <v>3.92</v>
      </c>
      <c r="D114" s="68">
        <f t="shared" ref="D114:J114" si="34">(D130+D113)*$C$114/100</f>
        <v>294.40386976925879</v>
      </c>
      <c r="E114" s="68">
        <f t="shared" si="34"/>
        <v>165.38315349115823</v>
      </c>
      <c r="F114" s="68">
        <f t="shared" si="34"/>
        <v>157.9332111225865</v>
      </c>
      <c r="G114" s="68">
        <f t="shared" si="34"/>
        <v>173.82473657707925</v>
      </c>
      <c r="H114" s="68">
        <f t="shared" si="34"/>
        <v>259.93275262078748</v>
      </c>
      <c r="I114" s="68">
        <f t="shared" si="34"/>
        <v>255.78655105918756</v>
      </c>
      <c r="J114" s="68">
        <f t="shared" si="34"/>
        <v>279.20127432023526</v>
      </c>
    </row>
    <row r="115" spans="1:10">
      <c r="A115" s="63" t="s">
        <v>15</v>
      </c>
      <c r="B115" s="66" t="s">
        <v>85</v>
      </c>
      <c r="C115" s="67"/>
      <c r="D115" s="68"/>
      <c r="E115" s="68"/>
      <c r="F115" s="68"/>
      <c r="G115" s="68"/>
      <c r="H115" s="68"/>
      <c r="I115" s="68"/>
      <c r="J115" s="68"/>
    </row>
    <row r="116" spans="1:10">
      <c r="A116" s="63"/>
      <c r="B116" s="66" t="s">
        <v>86</v>
      </c>
      <c r="C116" s="67">
        <f>3+0.65</f>
        <v>3.65</v>
      </c>
      <c r="D116" s="68">
        <f t="shared" ref="D116:J116" si="35">((D130+D113+D114)/(1-($C$116+$C$118)/100))*$C$116/100</f>
        <v>311.84651719233608</v>
      </c>
      <c r="E116" s="68">
        <f t="shared" si="35"/>
        <v>175.18166612050601</v>
      </c>
      <c r="F116" s="68">
        <f t="shared" si="35"/>
        <v>167.290334451722</v>
      </c>
      <c r="G116" s="68">
        <f t="shared" si="35"/>
        <v>184.12339058560028</v>
      </c>
      <c r="H116" s="68">
        <f t="shared" si="35"/>
        <v>275.33307789921491</v>
      </c>
      <c r="I116" s="68">
        <f t="shared" si="35"/>
        <v>270.9412249063322</v>
      </c>
      <c r="J116" s="68">
        <f t="shared" si="35"/>
        <v>295.74320833713068</v>
      </c>
    </row>
    <row r="117" spans="1:10">
      <c r="A117" s="63"/>
      <c r="B117" s="66" t="s">
        <v>87</v>
      </c>
      <c r="C117" s="67"/>
      <c r="D117" s="68"/>
      <c r="E117" s="68"/>
      <c r="F117" s="68"/>
      <c r="G117" s="68"/>
      <c r="H117" s="68"/>
      <c r="I117" s="68"/>
      <c r="J117" s="68"/>
    </row>
    <row r="118" spans="1:10">
      <c r="A118" s="63"/>
      <c r="B118" s="66" t="s">
        <v>88</v>
      </c>
      <c r="C118" s="69">
        <v>5</v>
      </c>
      <c r="D118" s="68">
        <f t="shared" ref="D118:J118" si="36">((D130+D113+D114)/(1-($C$116+$C$118)/100))*$C$118/100</f>
        <v>427.18700985251519</v>
      </c>
      <c r="E118" s="68">
        <f t="shared" si="36"/>
        <v>239.97488509658359</v>
      </c>
      <c r="F118" s="68">
        <f t="shared" si="36"/>
        <v>229.16484171468767</v>
      </c>
      <c r="G118" s="68">
        <f t="shared" si="36"/>
        <v>252.22382272000038</v>
      </c>
      <c r="H118" s="68">
        <f t="shared" si="36"/>
        <v>377.16859986193828</v>
      </c>
      <c r="I118" s="68">
        <f t="shared" si="36"/>
        <v>371.15236288538659</v>
      </c>
      <c r="J118" s="68">
        <f t="shared" si="36"/>
        <v>405.1276826536037</v>
      </c>
    </row>
    <row r="119" spans="1:10">
      <c r="A119" s="63"/>
      <c r="B119" s="66" t="s">
        <v>89</v>
      </c>
      <c r="C119" s="67"/>
      <c r="D119" s="68"/>
      <c r="E119" s="70"/>
      <c r="F119" s="70"/>
      <c r="G119" s="70"/>
      <c r="H119" s="70"/>
      <c r="I119" s="70"/>
      <c r="J119" s="70"/>
    </row>
    <row r="120" spans="1:10" ht="15" thickBot="1">
      <c r="A120" s="30"/>
      <c r="B120" s="31" t="s">
        <v>46</v>
      </c>
      <c r="C120" s="54">
        <f t="shared" ref="C120:J120" si="37">SUM(C113:C119)</f>
        <v>17.369999999999997</v>
      </c>
      <c r="D120" s="32">
        <f t="shared" si="37"/>
        <v>1377.4207311760729</v>
      </c>
      <c r="E120" s="32">
        <f t="shared" si="37"/>
        <v>773.77442213832842</v>
      </c>
      <c r="F120" s="32">
        <f t="shared" si="37"/>
        <v>738.91854516707667</v>
      </c>
      <c r="G120" s="32">
        <f t="shared" si="37"/>
        <v>813.26986612011478</v>
      </c>
      <c r="H120" s="32">
        <f t="shared" si="37"/>
        <v>1216.1414945127876</v>
      </c>
      <c r="I120" s="32">
        <f t="shared" si="37"/>
        <v>1196.7427549817533</v>
      </c>
      <c r="J120" s="32">
        <f t="shared" si="37"/>
        <v>1306.2926914679667</v>
      </c>
    </row>
    <row r="121" spans="1:10">
      <c r="A121" s="11"/>
      <c r="B121" s="25"/>
      <c r="C121" s="26"/>
      <c r="D121" s="26"/>
    </row>
    <row r="122" spans="1:10" ht="15" thickBot="1">
      <c r="A122" s="384" t="s">
        <v>142</v>
      </c>
      <c r="B122" s="384"/>
      <c r="C122" s="384"/>
      <c r="D122" s="384"/>
      <c r="E122" s="384"/>
      <c r="F122" s="384"/>
      <c r="G122" s="384"/>
    </row>
    <row r="123" spans="1:10" ht="41.4">
      <c r="A123" s="360" t="s">
        <v>143</v>
      </c>
      <c r="B123" s="361"/>
      <c r="C123" s="361"/>
      <c r="D123" s="55" t="s">
        <v>147</v>
      </c>
      <c r="E123" s="55" t="s">
        <v>277</v>
      </c>
      <c r="F123" s="55" t="s">
        <v>334</v>
      </c>
      <c r="G123" s="55" t="s">
        <v>361</v>
      </c>
      <c r="H123" s="55" t="s">
        <v>335</v>
      </c>
      <c r="I123" s="55" t="s">
        <v>272</v>
      </c>
      <c r="J123" s="55" t="s">
        <v>273</v>
      </c>
    </row>
    <row r="124" spans="1:10">
      <c r="A124" s="71"/>
      <c r="B124" s="375" t="s">
        <v>90</v>
      </c>
      <c r="C124" s="375"/>
      <c r="D124" s="65" t="s">
        <v>10</v>
      </c>
      <c r="E124" s="65" t="s">
        <v>10</v>
      </c>
      <c r="F124" s="65" t="s">
        <v>10</v>
      </c>
      <c r="G124" s="65" t="s">
        <v>10</v>
      </c>
      <c r="H124" s="65" t="s">
        <v>10</v>
      </c>
      <c r="I124" s="65" t="s">
        <v>10</v>
      </c>
      <c r="J124" s="65" t="s">
        <v>10</v>
      </c>
    </row>
    <row r="125" spans="1:10">
      <c r="A125" s="71" t="s">
        <v>11</v>
      </c>
      <c r="B125" s="358" t="s">
        <v>91</v>
      </c>
      <c r="C125" s="358"/>
      <c r="D125" s="68">
        <f t="shared" ref="D125:J125" si="38">D36</f>
        <v>3583.24</v>
      </c>
      <c r="E125" s="68">
        <f t="shared" si="38"/>
        <v>1567.57</v>
      </c>
      <c r="F125" s="68">
        <f t="shared" si="38"/>
        <v>1567.57</v>
      </c>
      <c r="G125" s="68">
        <f t="shared" si="38"/>
        <v>1740.9782458380998</v>
      </c>
      <c r="H125" s="68">
        <f t="shared" si="38"/>
        <v>2915.86</v>
      </c>
      <c r="I125" s="68">
        <f t="shared" si="38"/>
        <v>2915.86</v>
      </c>
      <c r="J125" s="68">
        <f t="shared" si="38"/>
        <v>3238.4192271538004</v>
      </c>
    </row>
    <row r="126" spans="1:10">
      <c r="A126" s="71" t="s">
        <v>13</v>
      </c>
      <c r="B126" s="358" t="s">
        <v>92</v>
      </c>
      <c r="C126" s="358"/>
      <c r="D126" s="68">
        <f t="shared" ref="D126:J126" si="39">D70</f>
        <v>2927.5344200000004</v>
      </c>
      <c r="E126" s="68">
        <f t="shared" si="39"/>
        <v>1676.811185</v>
      </c>
      <c r="F126" s="68">
        <f t="shared" si="39"/>
        <v>1496.8501850000002</v>
      </c>
      <c r="G126" s="68">
        <f t="shared" si="39"/>
        <v>1693.8894962928271</v>
      </c>
      <c r="H126" s="68">
        <f t="shared" si="39"/>
        <v>2513.4251300000001</v>
      </c>
      <c r="I126" s="68">
        <f t="shared" si="39"/>
        <v>2412.4991300000002</v>
      </c>
      <c r="J126" s="68">
        <f t="shared" si="39"/>
        <v>2632.0006840781616</v>
      </c>
    </row>
    <row r="127" spans="1:10">
      <c r="A127" s="71" t="s">
        <v>15</v>
      </c>
      <c r="B127" s="358" t="s">
        <v>93</v>
      </c>
      <c r="C127" s="358"/>
      <c r="D127" s="68">
        <f t="shared" ref="D127:J127" si="40">D80</f>
        <v>237.89997545844443</v>
      </c>
      <c r="E127" s="68">
        <f t="shared" si="40"/>
        <v>104.10178293394443</v>
      </c>
      <c r="F127" s="68">
        <f t="shared" si="40"/>
        <v>104.10178293394443</v>
      </c>
      <c r="G127" s="68">
        <f t="shared" si="40"/>
        <v>115.61245177456911</v>
      </c>
      <c r="H127" s="68">
        <f t="shared" si="40"/>
        <v>193.59994731544447</v>
      </c>
      <c r="I127" s="68">
        <f t="shared" si="40"/>
        <v>193.59994731544447</v>
      </c>
      <c r="J127" s="68">
        <f t="shared" si="40"/>
        <v>215.01111163067367</v>
      </c>
    </row>
    <row r="128" spans="1:10">
      <c r="A128" s="71" t="s">
        <v>16</v>
      </c>
      <c r="B128" s="358" t="s">
        <v>94</v>
      </c>
      <c r="C128" s="358"/>
      <c r="D128" s="68">
        <f t="shared" ref="D128:J128" si="41">D101</f>
        <v>83.103924582452152</v>
      </c>
      <c r="E128" s="68">
        <f t="shared" si="41"/>
        <v>46.121858333758716</v>
      </c>
      <c r="F128" s="68">
        <f t="shared" si="41"/>
        <v>44.737867667092047</v>
      </c>
      <c r="G128" s="68">
        <f t="shared" si="41"/>
        <v>49.60794084875532</v>
      </c>
      <c r="H128" s="68">
        <f t="shared" si="41"/>
        <v>73.226971884893317</v>
      </c>
      <c r="I128" s="68">
        <f t="shared" si="41"/>
        <v>73.226971884893317</v>
      </c>
      <c r="J128" s="68">
        <f t="shared" si="41"/>
        <v>79.711485215831004</v>
      </c>
    </row>
    <row r="129" spans="1:10">
      <c r="A129" s="71" t="s">
        <v>18</v>
      </c>
      <c r="B129" s="358" t="s">
        <v>95</v>
      </c>
      <c r="C129" s="358"/>
      <c r="D129" s="68">
        <f t="shared" ref="D129:J129" si="42">D109</f>
        <v>334.5411458333333</v>
      </c>
      <c r="E129" s="68">
        <f t="shared" si="42"/>
        <v>631.11845352564092</v>
      </c>
      <c r="F129" s="68">
        <f t="shared" si="42"/>
        <v>631.11845352564092</v>
      </c>
      <c r="G129" s="68">
        <f t="shared" si="42"/>
        <v>631.11845352564092</v>
      </c>
      <c r="H129" s="68">
        <f t="shared" si="42"/>
        <v>631.11845352564092</v>
      </c>
      <c r="I129" s="68">
        <f t="shared" si="42"/>
        <v>631.11845352564092</v>
      </c>
      <c r="J129" s="68">
        <f t="shared" si="42"/>
        <v>631.11845352564092</v>
      </c>
    </row>
    <row r="130" spans="1:10">
      <c r="A130" s="71"/>
      <c r="B130" s="375" t="s">
        <v>96</v>
      </c>
      <c r="C130" s="375"/>
      <c r="D130" s="72">
        <f t="shared" ref="D130:J130" si="43">SUM(D125:D129)</f>
        <v>7166.3194658742304</v>
      </c>
      <c r="E130" s="72">
        <f t="shared" si="43"/>
        <v>4025.7232797933439</v>
      </c>
      <c r="F130" s="72">
        <f t="shared" si="43"/>
        <v>3844.3782891266774</v>
      </c>
      <c r="G130" s="72">
        <f t="shared" si="43"/>
        <v>4231.2065882798925</v>
      </c>
      <c r="H130" s="72">
        <f t="shared" si="43"/>
        <v>6327.2305027259781</v>
      </c>
      <c r="I130" s="72">
        <f t="shared" si="43"/>
        <v>6226.3045027259786</v>
      </c>
      <c r="J130" s="72">
        <f t="shared" si="43"/>
        <v>6796.2609616041073</v>
      </c>
    </row>
    <row r="131" spans="1:10">
      <c r="A131" s="71" t="s">
        <v>20</v>
      </c>
      <c r="B131" s="358" t="s">
        <v>97</v>
      </c>
      <c r="C131" s="358"/>
      <c r="D131" s="68">
        <f t="shared" ref="D131:J131" si="44">D120</f>
        <v>1377.4207311760729</v>
      </c>
      <c r="E131" s="68">
        <f t="shared" si="44"/>
        <v>773.77442213832842</v>
      </c>
      <c r="F131" s="68">
        <f t="shared" si="44"/>
        <v>738.91854516707667</v>
      </c>
      <c r="G131" s="68">
        <f t="shared" si="44"/>
        <v>813.26986612011478</v>
      </c>
      <c r="H131" s="68">
        <f t="shared" si="44"/>
        <v>1216.1414945127876</v>
      </c>
      <c r="I131" s="68">
        <f t="shared" si="44"/>
        <v>1196.7427549817533</v>
      </c>
      <c r="J131" s="68">
        <f t="shared" si="44"/>
        <v>1306.2926914679667</v>
      </c>
    </row>
    <row r="132" spans="1:10">
      <c r="A132" s="71"/>
      <c r="B132" s="375" t="s">
        <v>98</v>
      </c>
      <c r="C132" s="375"/>
      <c r="D132" s="72">
        <f t="shared" ref="D132:J132" si="45">SUM(D130:D131)</f>
        <v>8543.7401970503033</v>
      </c>
      <c r="E132" s="72">
        <f t="shared" si="45"/>
        <v>4799.4977019316721</v>
      </c>
      <c r="F132" s="72">
        <f t="shared" si="45"/>
        <v>4583.2968342937538</v>
      </c>
      <c r="G132" s="72">
        <f t="shared" si="45"/>
        <v>5044.4764544000072</v>
      </c>
      <c r="H132" s="72">
        <f t="shared" si="45"/>
        <v>7543.3719972387662</v>
      </c>
      <c r="I132" s="72">
        <f t="shared" si="45"/>
        <v>7423.0472577077317</v>
      </c>
      <c r="J132" s="72">
        <f t="shared" si="45"/>
        <v>8102.5536530720738</v>
      </c>
    </row>
    <row r="133" spans="1:10">
      <c r="A133" s="71"/>
      <c r="B133" s="375" t="s">
        <v>144</v>
      </c>
      <c r="C133" s="375"/>
      <c r="D133" s="72"/>
      <c r="E133" s="72"/>
      <c r="F133" s="72"/>
      <c r="G133" s="72">
        <f>2*G132</f>
        <v>10088.952908800014</v>
      </c>
      <c r="H133" s="72">
        <f>2*H132</f>
        <v>15086.743994477532</v>
      </c>
      <c r="I133" s="72">
        <f>2*I132</f>
        <v>14846.094515415463</v>
      </c>
      <c r="J133" s="72">
        <f>2*J132</f>
        <v>16205.107306144148</v>
      </c>
    </row>
    <row r="134" spans="1:10" ht="15" thickBot="1">
      <c r="A134" s="18"/>
      <c r="B134" s="376" t="s">
        <v>99</v>
      </c>
      <c r="C134" s="376"/>
      <c r="D134" s="29">
        <f>D132/D36</f>
        <v>2.3843616941790962</v>
      </c>
      <c r="E134" s="29">
        <f>E132/E36</f>
        <v>3.0617437830091623</v>
      </c>
      <c r="F134" s="29">
        <f>F132/F36</f>
        <v>2.9238227538762249</v>
      </c>
      <c r="G134" s="29">
        <f>G133/G36</f>
        <v>5.7949907949270401</v>
      </c>
      <c r="H134" s="29">
        <f>H133/H36</f>
        <v>5.1740289295362372</v>
      </c>
      <c r="I134" s="29">
        <f>I133/I36</f>
        <v>5.0914977109379267</v>
      </c>
      <c r="J134" s="29">
        <f>J133/J36</f>
        <v>5.0040177535589114</v>
      </c>
    </row>
    <row r="135" spans="1:10">
      <c r="A135" s="9"/>
      <c r="B135" s="27"/>
      <c r="C135" s="9"/>
      <c r="D135" s="9"/>
    </row>
    <row r="136" spans="1:10" ht="15" thickBot="1">
      <c r="A136" s="9"/>
      <c r="B136" s="9"/>
      <c r="C136" s="9"/>
      <c r="D136" s="9"/>
    </row>
    <row r="137" spans="1:10" ht="41.4">
      <c r="A137" s="369" t="s">
        <v>100</v>
      </c>
      <c r="B137" s="370"/>
      <c r="C137" s="17"/>
      <c r="D137" s="55" t="s">
        <v>147</v>
      </c>
      <c r="E137" s="55" t="s">
        <v>277</v>
      </c>
      <c r="F137" s="55" t="s">
        <v>334</v>
      </c>
      <c r="G137" s="55" t="s">
        <v>361</v>
      </c>
      <c r="H137" s="55" t="s">
        <v>335</v>
      </c>
      <c r="I137" s="55" t="s">
        <v>272</v>
      </c>
      <c r="J137" s="55" t="s">
        <v>273</v>
      </c>
    </row>
    <row r="138" spans="1:10">
      <c r="A138" s="61">
        <v>6</v>
      </c>
      <c r="B138" s="64" t="s">
        <v>82</v>
      </c>
      <c r="C138" s="65" t="s">
        <v>35</v>
      </c>
      <c r="D138" s="65" t="s">
        <v>10</v>
      </c>
      <c r="E138" s="65" t="s">
        <v>10</v>
      </c>
      <c r="F138" s="65" t="s">
        <v>10</v>
      </c>
      <c r="G138" s="65" t="s">
        <v>10</v>
      </c>
      <c r="H138" s="65" t="s">
        <v>10</v>
      </c>
      <c r="I138" s="65" t="s">
        <v>10</v>
      </c>
      <c r="J138" s="65" t="s">
        <v>10</v>
      </c>
    </row>
    <row r="139" spans="1:10">
      <c r="A139" s="63" t="s">
        <v>11</v>
      </c>
      <c r="B139" s="66" t="s">
        <v>83</v>
      </c>
      <c r="C139" s="67">
        <v>4.8</v>
      </c>
      <c r="D139" s="68">
        <f t="shared" ref="D139:J139" si="46">(D156)*$C$139/100</f>
        <v>343.98333436196305</v>
      </c>
      <c r="E139" s="68">
        <f t="shared" si="46"/>
        <v>193.23471743008048</v>
      </c>
      <c r="F139" s="68">
        <f t="shared" si="46"/>
        <v>184.5301578780805</v>
      </c>
      <c r="G139" s="68">
        <f t="shared" si="46"/>
        <v>203.09791623743484</v>
      </c>
      <c r="H139" s="68">
        <f t="shared" si="46"/>
        <v>303.7070641308469</v>
      </c>
      <c r="I139" s="68">
        <f t="shared" si="46"/>
        <v>298.86261613084696</v>
      </c>
      <c r="J139" s="68">
        <f t="shared" si="46"/>
        <v>326.22052615699715</v>
      </c>
    </row>
    <row r="140" spans="1:10">
      <c r="A140" s="63" t="s">
        <v>13</v>
      </c>
      <c r="B140" s="66" t="s">
        <v>84</v>
      </c>
      <c r="C140" s="67">
        <v>3.92</v>
      </c>
      <c r="D140" s="68">
        <f t="shared" ref="D140:J140" si="47">(D156+D139)*$C$140/100</f>
        <v>294.40386976925879</v>
      </c>
      <c r="E140" s="68">
        <f t="shared" si="47"/>
        <v>165.38315349115823</v>
      </c>
      <c r="F140" s="68">
        <f t="shared" si="47"/>
        <v>157.9332111225865</v>
      </c>
      <c r="G140" s="68">
        <f t="shared" si="47"/>
        <v>173.82473657707925</v>
      </c>
      <c r="H140" s="68">
        <f t="shared" si="47"/>
        <v>259.93275262078748</v>
      </c>
      <c r="I140" s="68">
        <f t="shared" si="47"/>
        <v>255.78655105918756</v>
      </c>
      <c r="J140" s="68">
        <f t="shared" si="47"/>
        <v>279.20127432023526</v>
      </c>
    </row>
    <row r="141" spans="1:10">
      <c r="A141" s="63" t="s">
        <v>15</v>
      </c>
      <c r="B141" s="66" t="s">
        <v>85</v>
      </c>
      <c r="C141" s="67"/>
      <c r="D141" s="68"/>
      <c r="E141" s="68"/>
      <c r="F141" s="68"/>
      <c r="G141" s="68"/>
      <c r="H141" s="68"/>
      <c r="I141" s="68"/>
      <c r="J141" s="68"/>
    </row>
    <row r="142" spans="1:10">
      <c r="A142" s="63"/>
      <c r="B142" s="66" t="s">
        <v>106</v>
      </c>
      <c r="C142" s="73">
        <v>9.25</v>
      </c>
      <c r="D142" s="68">
        <f t="shared" ref="D142:J142" si="48">((D156+D139+D140)/(1-($C$142+$C$144)/100))*$C$142/100</f>
        <v>841.9071334991304</v>
      </c>
      <c r="E142" s="68">
        <f t="shared" si="48"/>
        <v>472.9464215056546</v>
      </c>
      <c r="F142" s="68">
        <f t="shared" si="48"/>
        <v>451.64181151810999</v>
      </c>
      <c r="G142" s="68">
        <f t="shared" si="48"/>
        <v>497.08682775653949</v>
      </c>
      <c r="H142" s="68">
        <f t="shared" si="48"/>
        <v>743.33003446259943</v>
      </c>
      <c r="I142" s="68">
        <f t="shared" si="48"/>
        <v>731.47313640493439</v>
      </c>
      <c r="J142" s="68">
        <f t="shared" si="48"/>
        <v>798.43225130323481</v>
      </c>
    </row>
    <row r="143" spans="1:10">
      <c r="A143" s="63"/>
      <c r="B143" s="66" t="s">
        <v>87</v>
      </c>
      <c r="C143" s="67"/>
      <c r="D143" s="68"/>
      <c r="E143" s="68"/>
      <c r="F143" s="68"/>
      <c r="G143" s="68"/>
      <c r="H143" s="68"/>
      <c r="I143" s="68"/>
      <c r="J143" s="68"/>
    </row>
    <row r="144" spans="1:10">
      <c r="A144" s="63"/>
      <c r="B144" s="66" t="s">
        <v>88</v>
      </c>
      <c r="C144" s="69">
        <v>5</v>
      </c>
      <c r="D144" s="68">
        <f t="shared" ref="D144:J144" si="49">((D156+D139+D140)/(1-($C$142+$C$144)/100))*$C$144/100</f>
        <v>455.08493702655693</v>
      </c>
      <c r="E144" s="68">
        <f t="shared" si="49"/>
        <v>255.64671432738086</v>
      </c>
      <c r="F144" s="68">
        <f t="shared" si="49"/>
        <v>244.13070892870812</v>
      </c>
      <c r="G144" s="68">
        <f t="shared" si="49"/>
        <v>268.69558257110242</v>
      </c>
      <c r="H144" s="68">
        <f t="shared" si="49"/>
        <v>401.80001862843216</v>
      </c>
      <c r="I144" s="68">
        <f t="shared" si="49"/>
        <v>395.39088454320773</v>
      </c>
      <c r="J144" s="68">
        <f t="shared" si="49"/>
        <v>431.5850007044512</v>
      </c>
    </row>
    <row r="145" spans="1:10">
      <c r="A145" s="63"/>
      <c r="B145" s="66" t="s">
        <v>89</v>
      </c>
      <c r="C145" s="67"/>
      <c r="D145" s="68"/>
      <c r="E145" s="68"/>
      <c r="F145" s="68"/>
      <c r="G145" s="68"/>
      <c r="H145" s="68"/>
      <c r="I145" s="68"/>
      <c r="J145" s="68"/>
    </row>
    <row r="146" spans="1:10" ht="15" thickBot="1">
      <c r="A146" s="30"/>
      <c r="B146" s="31" t="s">
        <v>46</v>
      </c>
      <c r="C146" s="54">
        <f t="shared" ref="C146:J146" si="50">SUM(C139:C145)</f>
        <v>22.97</v>
      </c>
      <c r="D146" s="32">
        <f t="shared" si="50"/>
        <v>1935.379274656909</v>
      </c>
      <c r="E146" s="32">
        <f t="shared" si="50"/>
        <v>1087.2110067542742</v>
      </c>
      <c r="F146" s="32">
        <f t="shared" si="50"/>
        <v>1038.2358894474851</v>
      </c>
      <c r="G146" s="32">
        <f t="shared" si="50"/>
        <v>1142.705063142156</v>
      </c>
      <c r="H146" s="32">
        <f t="shared" si="50"/>
        <v>1708.7698698426659</v>
      </c>
      <c r="I146" s="32">
        <f t="shared" si="50"/>
        <v>1681.5131881381765</v>
      </c>
      <c r="J146" s="32">
        <f t="shared" si="50"/>
        <v>1835.4390524849184</v>
      </c>
    </row>
    <row r="147" spans="1:10">
      <c r="A147" s="20"/>
      <c r="B147" s="20"/>
      <c r="C147" s="20"/>
      <c r="D147" s="20"/>
    </row>
    <row r="148" spans="1:10" ht="15" thickBot="1">
      <c r="A148" s="387" t="s">
        <v>145</v>
      </c>
      <c r="B148" s="387"/>
      <c r="C148" s="387"/>
      <c r="D148" s="387"/>
      <c r="E148" s="387"/>
      <c r="F148" s="387"/>
      <c r="G148" s="387"/>
    </row>
    <row r="149" spans="1:10" ht="41.4">
      <c r="A149" s="385" t="s">
        <v>146</v>
      </c>
      <c r="B149" s="386"/>
      <c r="C149" s="386"/>
      <c r="D149" s="55" t="s">
        <v>147</v>
      </c>
      <c r="E149" s="55" t="s">
        <v>277</v>
      </c>
      <c r="F149" s="55" t="s">
        <v>334</v>
      </c>
      <c r="G149" s="55" t="s">
        <v>361</v>
      </c>
      <c r="H149" s="55" t="s">
        <v>335</v>
      </c>
      <c r="I149" s="55" t="s">
        <v>272</v>
      </c>
      <c r="J149" s="55" t="s">
        <v>273</v>
      </c>
    </row>
    <row r="150" spans="1:10">
      <c r="A150" s="71"/>
      <c r="B150" s="375" t="s">
        <v>90</v>
      </c>
      <c r="C150" s="375"/>
      <c r="D150" s="65" t="s">
        <v>10</v>
      </c>
      <c r="E150" s="65" t="s">
        <v>10</v>
      </c>
      <c r="F150" s="65" t="s">
        <v>10</v>
      </c>
      <c r="G150" s="65" t="s">
        <v>10</v>
      </c>
      <c r="H150" s="65" t="s">
        <v>10</v>
      </c>
      <c r="I150" s="65" t="s">
        <v>10</v>
      </c>
      <c r="J150" s="65" t="s">
        <v>10</v>
      </c>
    </row>
    <row r="151" spans="1:10">
      <c r="A151" s="71" t="s">
        <v>11</v>
      </c>
      <c r="B151" s="358" t="s">
        <v>91</v>
      </c>
      <c r="C151" s="358"/>
      <c r="D151" s="68">
        <f>D125</f>
        <v>3583.24</v>
      </c>
      <c r="E151" s="68">
        <f t="shared" ref="E151:F155" si="51">E125</f>
        <v>1567.57</v>
      </c>
      <c r="F151" s="68">
        <f t="shared" si="51"/>
        <v>1567.57</v>
      </c>
      <c r="G151" s="68">
        <f t="shared" ref="G151:J155" si="52">G125</f>
        <v>1740.9782458380998</v>
      </c>
      <c r="H151" s="68">
        <f t="shared" si="52"/>
        <v>2915.86</v>
      </c>
      <c r="I151" s="68">
        <f t="shared" si="52"/>
        <v>2915.86</v>
      </c>
      <c r="J151" s="68">
        <f t="shared" si="52"/>
        <v>3238.4192271538004</v>
      </c>
    </row>
    <row r="152" spans="1:10">
      <c r="A152" s="71" t="s">
        <v>13</v>
      </c>
      <c r="B152" s="358" t="s">
        <v>92</v>
      </c>
      <c r="C152" s="358"/>
      <c r="D152" s="68">
        <f>D126</f>
        <v>2927.5344200000004</v>
      </c>
      <c r="E152" s="68">
        <f t="shared" si="51"/>
        <v>1676.811185</v>
      </c>
      <c r="F152" s="68">
        <f t="shared" si="51"/>
        <v>1496.8501850000002</v>
      </c>
      <c r="G152" s="68">
        <f t="shared" si="52"/>
        <v>1693.8894962928271</v>
      </c>
      <c r="H152" s="68">
        <f t="shared" si="52"/>
        <v>2513.4251300000001</v>
      </c>
      <c r="I152" s="68">
        <f t="shared" si="52"/>
        <v>2412.4991300000002</v>
      </c>
      <c r="J152" s="68">
        <f t="shared" si="52"/>
        <v>2632.0006840781616</v>
      </c>
    </row>
    <row r="153" spans="1:10">
      <c r="A153" s="71" t="s">
        <v>15</v>
      </c>
      <c r="B153" s="358" t="s">
        <v>93</v>
      </c>
      <c r="C153" s="358"/>
      <c r="D153" s="68">
        <f>D127</f>
        <v>237.89997545844443</v>
      </c>
      <c r="E153" s="68">
        <f t="shared" si="51"/>
        <v>104.10178293394443</v>
      </c>
      <c r="F153" s="68">
        <f t="shared" si="51"/>
        <v>104.10178293394443</v>
      </c>
      <c r="G153" s="68">
        <f t="shared" si="52"/>
        <v>115.61245177456911</v>
      </c>
      <c r="H153" s="68">
        <f t="shared" si="52"/>
        <v>193.59994731544447</v>
      </c>
      <c r="I153" s="68">
        <f t="shared" si="52"/>
        <v>193.59994731544447</v>
      </c>
      <c r="J153" s="68">
        <f t="shared" si="52"/>
        <v>215.01111163067367</v>
      </c>
    </row>
    <row r="154" spans="1:10">
      <c r="A154" s="71" t="s">
        <v>16</v>
      </c>
      <c r="B154" s="358" t="s">
        <v>94</v>
      </c>
      <c r="C154" s="358"/>
      <c r="D154" s="68">
        <f>D128</f>
        <v>83.103924582452152</v>
      </c>
      <c r="E154" s="68">
        <f t="shared" si="51"/>
        <v>46.121858333758716</v>
      </c>
      <c r="F154" s="68">
        <f t="shared" si="51"/>
        <v>44.737867667092047</v>
      </c>
      <c r="G154" s="68">
        <f t="shared" si="52"/>
        <v>49.60794084875532</v>
      </c>
      <c r="H154" s="68">
        <f t="shared" si="52"/>
        <v>73.226971884893317</v>
      </c>
      <c r="I154" s="68">
        <f t="shared" si="52"/>
        <v>73.226971884893317</v>
      </c>
      <c r="J154" s="68">
        <f t="shared" si="52"/>
        <v>79.711485215831004</v>
      </c>
    </row>
    <row r="155" spans="1:10">
      <c r="A155" s="71" t="s">
        <v>18</v>
      </c>
      <c r="B155" s="358" t="s">
        <v>95</v>
      </c>
      <c r="C155" s="358"/>
      <c r="D155" s="68">
        <f>D129</f>
        <v>334.5411458333333</v>
      </c>
      <c r="E155" s="68">
        <f t="shared" si="51"/>
        <v>631.11845352564092</v>
      </c>
      <c r="F155" s="68">
        <f t="shared" si="51"/>
        <v>631.11845352564092</v>
      </c>
      <c r="G155" s="68">
        <f t="shared" si="52"/>
        <v>631.11845352564092</v>
      </c>
      <c r="H155" s="68">
        <f t="shared" si="52"/>
        <v>631.11845352564092</v>
      </c>
      <c r="I155" s="68">
        <f t="shared" si="52"/>
        <v>631.11845352564092</v>
      </c>
      <c r="J155" s="68">
        <f t="shared" si="52"/>
        <v>631.11845352564092</v>
      </c>
    </row>
    <row r="156" spans="1:10">
      <c r="A156" s="71"/>
      <c r="B156" s="375" t="s">
        <v>96</v>
      </c>
      <c r="C156" s="375"/>
      <c r="D156" s="72">
        <f t="shared" ref="D156:J156" si="53">SUM(D151:D155)</f>
        <v>7166.3194658742304</v>
      </c>
      <c r="E156" s="72">
        <f t="shared" si="53"/>
        <v>4025.7232797933439</v>
      </c>
      <c r="F156" s="72">
        <f t="shared" si="53"/>
        <v>3844.3782891266774</v>
      </c>
      <c r="G156" s="72">
        <f t="shared" si="53"/>
        <v>4231.2065882798925</v>
      </c>
      <c r="H156" s="72">
        <f t="shared" si="53"/>
        <v>6327.2305027259781</v>
      </c>
      <c r="I156" s="72">
        <f t="shared" si="53"/>
        <v>6226.3045027259786</v>
      </c>
      <c r="J156" s="72">
        <f t="shared" si="53"/>
        <v>6796.2609616041073</v>
      </c>
    </row>
    <row r="157" spans="1:10">
      <c r="A157" s="71" t="s">
        <v>20</v>
      </c>
      <c r="B157" s="358" t="s">
        <v>97</v>
      </c>
      <c r="C157" s="358"/>
      <c r="D157" s="68">
        <f t="shared" ref="D157:J157" si="54">D146</f>
        <v>1935.379274656909</v>
      </c>
      <c r="E157" s="68">
        <f t="shared" si="54"/>
        <v>1087.2110067542742</v>
      </c>
      <c r="F157" s="68">
        <f t="shared" si="54"/>
        <v>1038.2358894474851</v>
      </c>
      <c r="G157" s="68">
        <f t="shared" si="54"/>
        <v>1142.705063142156</v>
      </c>
      <c r="H157" s="68">
        <f t="shared" si="54"/>
        <v>1708.7698698426659</v>
      </c>
      <c r="I157" s="68">
        <f t="shared" si="54"/>
        <v>1681.5131881381765</v>
      </c>
      <c r="J157" s="68">
        <f t="shared" si="54"/>
        <v>1835.4390524849184</v>
      </c>
    </row>
    <row r="158" spans="1:10">
      <c r="A158" s="71"/>
      <c r="B158" s="375" t="s">
        <v>98</v>
      </c>
      <c r="C158" s="375"/>
      <c r="D158" s="72">
        <f t="shared" ref="D158:J158" si="55">SUM(D156:D157)</f>
        <v>9101.6987405311393</v>
      </c>
      <c r="E158" s="72">
        <f t="shared" si="55"/>
        <v>5112.9342865476183</v>
      </c>
      <c r="F158" s="72">
        <f t="shared" si="55"/>
        <v>4882.614178574162</v>
      </c>
      <c r="G158" s="72">
        <f t="shared" si="55"/>
        <v>5373.9116514220486</v>
      </c>
      <c r="H158" s="72">
        <f t="shared" si="55"/>
        <v>8036.0003725686438</v>
      </c>
      <c r="I158" s="72">
        <f t="shared" si="55"/>
        <v>7907.8176908641553</v>
      </c>
      <c r="J158" s="72">
        <f t="shared" si="55"/>
        <v>8631.700014089025</v>
      </c>
    </row>
    <row r="159" spans="1:10">
      <c r="A159" s="71"/>
      <c r="B159" s="375" t="s">
        <v>144</v>
      </c>
      <c r="C159" s="375"/>
      <c r="D159" s="72"/>
      <c r="E159" s="72"/>
      <c r="F159" s="72">
        <f>2*F158</f>
        <v>9765.228357148324</v>
      </c>
      <c r="G159" s="72"/>
      <c r="H159" s="72"/>
      <c r="I159" s="72">
        <f>2*I158</f>
        <v>15815.635381728311</v>
      </c>
      <c r="J159" s="72">
        <f>2*J158</f>
        <v>17263.40002817805</v>
      </c>
    </row>
    <row r="160" spans="1:10" ht="15" thickBot="1">
      <c r="A160" s="18"/>
      <c r="B160" s="376" t="s">
        <v>99</v>
      </c>
      <c r="C160" s="376"/>
      <c r="D160" s="29">
        <f>D158/D36</f>
        <v>2.5400751109418125</v>
      </c>
      <c r="E160" s="29">
        <f>E158/E36</f>
        <v>3.2616943974097605</v>
      </c>
      <c r="F160" s="29">
        <f>F159/F36/2</f>
        <v>3.1147662806599783</v>
      </c>
      <c r="G160" s="29">
        <f>G158/G36</f>
        <v>3.0867195866856276</v>
      </c>
      <c r="H160" s="29">
        <f>H158/H36</f>
        <v>2.7559623481815461</v>
      </c>
      <c r="I160" s="29">
        <f>I159/I36/2</f>
        <v>2.7120018419485694</v>
      </c>
      <c r="J160" s="29">
        <f>J159/J36/2</f>
        <v>2.6654053748548487</v>
      </c>
    </row>
  </sheetData>
  <mergeCells count="109">
    <mergeCell ref="B157:C157"/>
    <mergeCell ref="B158:C158"/>
    <mergeCell ref="B159:C159"/>
    <mergeCell ref="B160:C160"/>
    <mergeCell ref="B152:C152"/>
    <mergeCell ref="B153:C153"/>
    <mergeCell ref="B154:C154"/>
    <mergeCell ref="B155:C155"/>
    <mergeCell ref="B156:C156"/>
    <mergeCell ref="A137:B137"/>
    <mergeCell ref="A149:C149"/>
    <mergeCell ref="B150:C150"/>
    <mergeCell ref="B151:C151"/>
    <mergeCell ref="B130:C130"/>
    <mergeCell ref="B131:C131"/>
    <mergeCell ref="B132:C132"/>
    <mergeCell ref="B133:C133"/>
    <mergeCell ref="B134:C134"/>
    <mergeCell ref="A148:G148"/>
    <mergeCell ref="B125:C125"/>
    <mergeCell ref="B126:C126"/>
    <mergeCell ref="B127:C127"/>
    <mergeCell ref="B128:C128"/>
    <mergeCell ref="B129:C129"/>
    <mergeCell ref="B109:C109"/>
    <mergeCell ref="A111:B111"/>
    <mergeCell ref="A123:C123"/>
    <mergeCell ref="B124:C124"/>
    <mergeCell ref="A122:G122"/>
    <mergeCell ref="B104:C104"/>
    <mergeCell ref="B105:C105"/>
    <mergeCell ref="B106:C106"/>
    <mergeCell ref="B107:C107"/>
    <mergeCell ref="B108:C108"/>
    <mergeCell ref="B98:C98"/>
    <mergeCell ref="B99:C99"/>
    <mergeCell ref="B100:C100"/>
    <mergeCell ref="B101:C101"/>
    <mergeCell ref="A103:C103"/>
    <mergeCell ref="A92:C92"/>
    <mergeCell ref="B93:C93"/>
    <mergeCell ref="B94:C94"/>
    <mergeCell ref="B95:C95"/>
    <mergeCell ref="A97:C97"/>
    <mergeCell ref="B85:C85"/>
    <mergeCell ref="B86:C86"/>
    <mergeCell ref="B87:C87"/>
    <mergeCell ref="B88:C88"/>
    <mergeCell ref="B89:C89"/>
    <mergeCell ref="B90:C90"/>
    <mergeCell ref="B79:C79"/>
    <mergeCell ref="B80:C80"/>
    <mergeCell ref="A82:C82"/>
    <mergeCell ref="B83:C83"/>
    <mergeCell ref="B84:C84"/>
    <mergeCell ref="B74:C74"/>
    <mergeCell ref="B75:C75"/>
    <mergeCell ref="B76:C76"/>
    <mergeCell ref="B77:C77"/>
    <mergeCell ref="B78:C78"/>
    <mergeCell ref="B69:C69"/>
    <mergeCell ref="B70:C70"/>
    <mergeCell ref="A72:C72"/>
    <mergeCell ref="B73:C73"/>
    <mergeCell ref="B62:C62"/>
    <mergeCell ref="B63:C63"/>
    <mergeCell ref="A65:C65"/>
    <mergeCell ref="B66:C66"/>
    <mergeCell ref="B67:C67"/>
    <mergeCell ref="B60:C60"/>
    <mergeCell ref="B61:C61"/>
    <mergeCell ref="B36:C36"/>
    <mergeCell ref="B37:D37"/>
    <mergeCell ref="A38:C38"/>
    <mergeCell ref="A39:B39"/>
    <mergeCell ref="A45:C45"/>
    <mergeCell ref="B68:C68"/>
    <mergeCell ref="B33:C33"/>
    <mergeCell ref="A14:B14"/>
    <mergeCell ref="C14:F14"/>
    <mergeCell ref="A15:B15"/>
    <mergeCell ref="C15:F15"/>
    <mergeCell ref="A16:B16"/>
    <mergeCell ref="C16:F16"/>
    <mergeCell ref="A58:C58"/>
    <mergeCell ref="B59:C59"/>
    <mergeCell ref="B34:C34"/>
    <mergeCell ref="B35:C35"/>
    <mergeCell ref="A18:D18"/>
    <mergeCell ref="A28:C28"/>
    <mergeCell ref="B29:C29"/>
    <mergeCell ref="B30:C30"/>
    <mergeCell ref="B31:C31"/>
    <mergeCell ref="B32:C32"/>
    <mergeCell ref="A1:F1"/>
    <mergeCell ref="A2:F2"/>
    <mergeCell ref="A4:F4"/>
    <mergeCell ref="A5:F5"/>
    <mergeCell ref="A11:F11"/>
    <mergeCell ref="A12:B12"/>
    <mergeCell ref="C12:F12"/>
    <mergeCell ref="A13:B13"/>
    <mergeCell ref="C13:F13"/>
    <mergeCell ref="A6:F6"/>
    <mergeCell ref="A7:F7"/>
    <mergeCell ref="A8:B8"/>
    <mergeCell ref="C8:F8"/>
    <mergeCell ref="A9:B9"/>
    <mergeCell ref="C9:F9"/>
  </mergeCells>
  <pageMargins left="0.511811024" right="0.511811024" top="0.78740157499999996" bottom="0.78740157499999996" header="0.31496062000000002" footer="0.31496062000000002"/>
  <pageSetup paperSize="9" scale="69" orientation="landscape" r:id="rId1"/>
  <headerFooter>
    <oddHeader>&amp;L&amp;G&amp;CProcesso 23069.152417/2023-62
PE 25/2023&amp;R&amp;G</oddHeader>
    <oddFooter>&amp;L&amp;"-,Itálico"&amp;9&amp;A&amp;R&amp;"-,Itálico"&amp;9Página &amp;P de &amp;N</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9"/>
  <sheetViews>
    <sheetView topLeftCell="A5" zoomScaleNormal="100" workbookViewId="0">
      <selection activeCell="A5" sqref="A5:G5"/>
    </sheetView>
  </sheetViews>
  <sheetFormatPr defaultColWidth="9" defaultRowHeight="14.4"/>
  <cols>
    <col min="1" max="1" width="5.33203125" bestFit="1" customWidth="1"/>
    <col min="2" max="2" width="20.44140625" customWidth="1"/>
    <col min="3" max="3" width="8" bestFit="1" customWidth="1"/>
    <col min="4" max="4" width="15.33203125" customWidth="1"/>
    <col min="5" max="5" width="16.33203125" customWidth="1"/>
    <col min="6" max="6" width="14.5546875" bestFit="1" customWidth="1"/>
    <col min="7" max="7" width="15.33203125" bestFit="1" customWidth="1"/>
    <col min="8" max="8" width="13.6640625" customWidth="1"/>
  </cols>
  <sheetData>
    <row r="1" spans="1:8" ht="14.4" customHeight="1">
      <c r="A1" s="276" t="s">
        <v>0</v>
      </c>
      <c r="B1" s="276"/>
      <c r="C1" s="276"/>
      <c r="D1" s="276"/>
      <c r="E1" s="276"/>
      <c r="F1" s="276"/>
      <c r="G1" s="276"/>
      <c r="H1" s="5"/>
    </row>
    <row r="2" spans="1:8" ht="18">
      <c r="A2" s="271" t="s">
        <v>1</v>
      </c>
      <c r="B2" s="271"/>
      <c r="C2" s="271"/>
      <c r="D2" s="271"/>
      <c r="E2" s="271"/>
      <c r="F2" s="271"/>
      <c r="G2" s="271"/>
      <c r="H2" s="6"/>
    </row>
    <row r="3" spans="1:8" ht="18">
      <c r="A3" s="1"/>
      <c r="B3" s="1"/>
      <c r="C3" s="1"/>
      <c r="D3" s="1"/>
      <c r="E3" s="1"/>
      <c r="F3" s="1"/>
      <c r="G3" s="1"/>
      <c r="H3" s="1"/>
    </row>
    <row r="4" spans="1:8" ht="32.25" customHeight="1">
      <c r="A4" s="390" t="s">
        <v>207</v>
      </c>
      <c r="B4" s="390"/>
      <c r="C4" s="390"/>
      <c r="D4" s="390"/>
      <c r="E4" s="390"/>
      <c r="F4" s="390"/>
      <c r="G4" s="390"/>
      <c r="H4" s="3"/>
    </row>
    <row r="5" spans="1:8" ht="35.4" customHeight="1">
      <c r="A5" s="391" t="s">
        <v>223</v>
      </c>
      <c r="B5" s="391"/>
      <c r="C5" s="391"/>
      <c r="D5" s="391"/>
      <c r="E5" s="391"/>
      <c r="F5" s="391"/>
      <c r="G5" s="391"/>
      <c r="H5" s="4"/>
    </row>
    <row r="6" spans="1:8" ht="15" thickBot="1"/>
    <row r="7" spans="1:8">
      <c r="A7" s="392" t="s">
        <v>112</v>
      </c>
      <c r="B7" s="393"/>
      <c r="C7" s="393"/>
      <c r="D7" s="393"/>
      <c r="E7" s="393"/>
      <c r="F7" s="393"/>
      <c r="G7" s="394"/>
    </row>
    <row r="8" spans="1:8" ht="28.8">
      <c r="A8" s="124" t="s">
        <v>4</v>
      </c>
      <c r="B8" s="125" t="s">
        <v>101</v>
      </c>
      <c r="C8" s="125" t="s">
        <v>3</v>
      </c>
      <c r="D8" s="125" t="s">
        <v>102</v>
      </c>
      <c r="E8" s="125" t="s">
        <v>103</v>
      </c>
      <c r="F8" s="125" t="s">
        <v>104</v>
      </c>
      <c r="G8" s="126" t="s">
        <v>105</v>
      </c>
    </row>
    <row r="9" spans="1:8" ht="25.2">
      <c r="A9" s="127">
        <v>1</v>
      </c>
      <c r="B9" s="28" t="s">
        <v>147</v>
      </c>
      <c r="C9" s="104">
        <v>1</v>
      </c>
      <c r="D9" s="104">
        <v>1</v>
      </c>
      <c r="E9" s="123">
        <f>'An IIIA Postos 1'!D158</f>
        <v>9101.6987405311393</v>
      </c>
      <c r="F9" s="123">
        <f>E9*C9</f>
        <v>9101.6987405311393</v>
      </c>
      <c r="G9" s="128">
        <f>12*F9</f>
        <v>109220.38488637368</v>
      </c>
    </row>
    <row r="10" spans="1:8" ht="25.2">
      <c r="A10" s="127">
        <v>2</v>
      </c>
      <c r="B10" s="28" t="s">
        <v>277</v>
      </c>
      <c r="C10" s="104">
        <v>6</v>
      </c>
      <c r="D10" s="104">
        <v>6</v>
      </c>
      <c r="E10" s="123">
        <f>'An IIIA Postos 1'!E158</f>
        <v>5112.9342865476183</v>
      </c>
      <c r="F10" s="123">
        <f t="shared" ref="F10:F15" si="0">E10*C10</f>
        <v>30677.605719285712</v>
      </c>
      <c r="G10" s="128">
        <f t="shared" ref="G10:G15" si="1">12*F10</f>
        <v>368131.26863142854</v>
      </c>
    </row>
    <row r="11" spans="1:8" ht="37.799999999999997">
      <c r="A11" s="127">
        <v>3</v>
      </c>
      <c r="B11" s="28" t="s">
        <v>334</v>
      </c>
      <c r="C11" s="104">
        <f>'An IIA Distribuição Postos'!H11</f>
        <v>1</v>
      </c>
      <c r="D11" s="104">
        <v>2</v>
      </c>
      <c r="E11" s="123">
        <f>'An IIIA Postos 1'!F159</f>
        <v>9765.228357148324</v>
      </c>
      <c r="F11" s="123">
        <f t="shared" si="0"/>
        <v>9765.228357148324</v>
      </c>
      <c r="G11" s="128">
        <f t="shared" si="1"/>
        <v>117182.74028577989</v>
      </c>
    </row>
    <row r="12" spans="1:8" ht="37.799999999999997">
      <c r="A12" s="127">
        <v>4</v>
      </c>
      <c r="B12" s="28" t="s">
        <v>418</v>
      </c>
      <c r="C12" s="104">
        <v>1</v>
      </c>
      <c r="D12" s="103">
        <v>2</v>
      </c>
      <c r="E12" s="123">
        <f>'An IIIA Postos 1'!G158</f>
        <v>5373.9116514220486</v>
      </c>
      <c r="F12" s="123">
        <f t="shared" si="0"/>
        <v>5373.9116514220486</v>
      </c>
      <c r="G12" s="128">
        <f t="shared" si="1"/>
        <v>64486.939817064587</v>
      </c>
    </row>
    <row r="13" spans="1:8" ht="25.8" thickBot="1">
      <c r="A13" s="127">
        <v>5</v>
      </c>
      <c r="B13" s="56" t="s">
        <v>335</v>
      </c>
      <c r="C13" s="104">
        <v>5</v>
      </c>
      <c r="D13" s="104">
        <v>5</v>
      </c>
      <c r="E13" s="123">
        <f>'An IIIA Postos 1'!H158</f>
        <v>8036.0003725686438</v>
      </c>
      <c r="F13" s="123">
        <f t="shared" si="0"/>
        <v>40180.001862843215</v>
      </c>
      <c r="G13" s="128">
        <f t="shared" si="1"/>
        <v>482160.02235411858</v>
      </c>
    </row>
    <row r="14" spans="1:8" ht="38.4" thickBot="1">
      <c r="A14" s="178">
        <v>6</v>
      </c>
      <c r="B14" s="56" t="s">
        <v>272</v>
      </c>
      <c r="C14" s="179">
        <v>1</v>
      </c>
      <c r="D14" s="179">
        <v>2</v>
      </c>
      <c r="E14" s="180">
        <f>'An IIIA Postos 1'!I159</f>
        <v>15815.635381728311</v>
      </c>
      <c r="F14" s="180">
        <f t="shared" si="0"/>
        <v>15815.635381728311</v>
      </c>
      <c r="G14" s="181">
        <f t="shared" si="1"/>
        <v>189787.62458073974</v>
      </c>
    </row>
    <row r="15" spans="1:8" ht="38.4" thickBot="1">
      <c r="A15" s="178">
        <v>7</v>
      </c>
      <c r="B15" s="56" t="s">
        <v>273</v>
      </c>
      <c r="C15" s="179">
        <v>1</v>
      </c>
      <c r="D15" s="179">
        <v>2</v>
      </c>
      <c r="E15" s="180">
        <f>'An IIIA Postos 1'!J159</f>
        <v>17263.40002817805</v>
      </c>
      <c r="F15" s="180">
        <f t="shared" si="0"/>
        <v>17263.40002817805</v>
      </c>
      <c r="G15" s="181">
        <f t="shared" si="1"/>
        <v>207160.80033813661</v>
      </c>
    </row>
    <row r="16" spans="1:8" ht="15" thickBot="1">
      <c r="A16" s="388" t="s">
        <v>46</v>
      </c>
      <c r="B16" s="389"/>
      <c r="C16" s="129">
        <f>SUM(C9:C15)</f>
        <v>16</v>
      </c>
      <c r="D16" s="129">
        <f>SUM(D9:D15)</f>
        <v>20</v>
      </c>
      <c r="E16" s="130"/>
      <c r="F16" s="131">
        <f>SUM(F9:F15)</f>
        <v>128177.4817411368</v>
      </c>
      <c r="G16" s="132">
        <f>12*F16</f>
        <v>1538129.7808936415</v>
      </c>
    </row>
    <row r="17" spans="1:2">
      <c r="A17" s="2"/>
      <c r="B17" s="2"/>
    </row>
    <row r="18" spans="1:2">
      <c r="A18" s="2"/>
      <c r="B18" s="2"/>
    </row>
    <row r="19" spans="1:2">
      <c r="A19" s="2"/>
      <c r="B19" s="2"/>
    </row>
  </sheetData>
  <mergeCells count="6">
    <mergeCell ref="A16:B16"/>
    <mergeCell ref="A4:G4"/>
    <mergeCell ref="A5:G5"/>
    <mergeCell ref="A7:G7"/>
    <mergeCell ref="A1:G1"/>
    <mergeCell ref="A2:G2"/>
  </mergeCells>
  <pageMargins left="0.511811024" right="0.511811024" top="0.78740157499999996" bottom="0.78740157499999996" header="0.31496062000000002" footer="0.31496062000000002"/>
  <pageSetup paperSize="9" scale="83" fitToHeight="0" orientation="landscape" r:id="rId1"/>
  <headerFooter>
    <oddHeader>&amp;L&amp;G&amp;CProcesso 23069.152417/2023-62
PE 25/2023&amp;R&amp;G</oddHeader>
    <oddFooter>&amp;L&amp;"-,Itálico"&amp;9&amp;A&amp;R&amp;"-,Itálico"&amp;9Página &amp;P de &amp;N</oddFooter>
  </headerFooter>
  <colBreaks count="1" manualBreakCount="1">
    <brk id="7" max="1048575" man="1"/>
  </col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A35AE-BAA7-4901-A19C-D6A3D4C381F0}">
  <dimension ref="A1:H47"/>
  <sheetViews>
    <sheetView topLeftCell="A13" zoomScaleNormal="100" workbookViewId="0">
      <selection activeCell="A5" sqref="A5:G5"/>
    </sheetView>
  </sheetViews>
  <sheetFormatPr defaultColWidth="9" defaultRowHeight="14.4"/>
  <cols>
    <col min="1" max="1" width="10.88671875" customWidth="1"/>
    <col min="2" max="2" width="20.44140625" customWidth="1"/>
    <col min="3" max="3" width="64" customWidth="1"/>
    <col min="4" max="4" width="15.33203125" customWidth="1"/>
    <col min="5" max="5" width="16.33203125" customWidth="1"/>
    <col min="6" max="6" width="14.5546875" bestFit="1" customWidth="1"/>
    <col min="7" max="7" width="15.33203125" bestFit="1" customWidth="1"/>
    <col min="8" max="8" width="13.6640625" customWidth="1"/>
  </cols>
  <sheetData>
    <row r="1" spans="1:8" ht="14.4" customHeight="1">
      <c r="A1" s="276" t="s">
        <v>0</v>
      </c>
      <c r="B1" s="276"/>
      <c r="C1" s="276"/>
      <c r="D1" s="276"/>
      <c r="E1" s="5"/>
      <c r="F1" s="5"/>
      <c r="G1" s="5"/>
      <c r="H1" s="5"/>
    </row>
    <row r="2" spans="1:8" ht="18">
      <c r="A2" s="271" t="s">
        <v>1</v>
      </c>
      <c r="B2" s="271"/>
      <c r="C2" s="271"/>
      <c r="D2" s="271"/>
      <c r="E2" s="6"/>
      <c r="F2" s="6"/>
      <c r="G2" s="6"/>
      <c r="H2" s="6"/>
    </row>
    <row r="3" spans="1:8" ht="18">
      <c r="A3" s="1"/>
      <c r="B3" s="1"/>
      <c r="C3" s="1"/>
      <c r="D3" s="1"/>
      <c r="E3" s="1"/>
      <c r="F3" s="1"/>
      <c r="G3" s="1"/>
      <c r="H3" s="1"/>
    </row>
    <row r="4" spans="1:8" ht="32.25" customHeight="1">
      <c r="A4" s="390" t="s">
        <v>416</v>
      </c>
      <c r="B4" s="390"/>
      <c r="C4" s="390"/>
      <c r="D4" s="390"/>
      <c r="E4" s="245"/>
      <c r="F4" s="245"/>
      <c r="G4" s="245"/>
      <c r="H4" s="3"/>
    </row>
    <row r="5" spans="1:8" ht="35.4" customHeight="1">
      <c r="A5" s="391" t="s">
        <v>223</v>
      </c>
      <c r="B5" s="391"/>
      <c r="C5" s="391"/>
      <c r="D5" s="391"/>
      <c r="E5" s="4"/>
      <c r="F5" s="4"/>
      <c r="G5" s="4"/>
      <c r="H5" s="4"/>
    </row>
    <row r="6" spans="1:8" ht="15" thickBot="1"/>
    <row r="7" spans="1:8" ht="15" thickTop="1">
      <c r="A7" s="220" t="s">
        <v>4</v>
      </c>
      <c r="B7" s="415" t="s">
        <v>184</v>
      </c>
      <c r="C7" s="415"/>
      <c r="D7" s="221" t="s">
        <v>377</v>
      </c>
    </row>
    <row r="8" spans="1:8">
      <c r="A8" s="222">
        <v>1</v>
      </c>
      <c r="B8" s="403" t="s">
        <v>378</v>
      </c>
      <c r="C8" s="403"/>
      <c r="D8" s="224">
        <v>0.04</v>
      </c>
    </row>
    <row r="9" spans="1:8">
      <c r="A9" s="222">
        <v>2</v>
      </c>
      <c r="B9" s="416" t="s">
        <v>379</v>
      </c>
      <c r="C9" s="417"/>
      <c r="D9" s="224">
        <v>8.0000000000000002E-3</v>
      </c>
    </row>
    <row r="10" spans="1:8">
      <c r="A10" s="222">
        <v>3</v>
      </c>
      <c r="B10" s="403" t="s">
        <v>380</v>
      </c>
      <c r="C10" s="403"/>
      <c r="D10" s="224">
        <v>1.2699999999999999E-2</v>
      </c>
    </row>
    <row r="11" spans="1:8">
      <c r="A11" s="222">
        <v>4</v>
      </c>
      <c r="B11" s="403" t="s">
        <v>381</v>
      </c>
      <c r="C11" s="403"/>
      <c r="D11" s="224">
        <v>0</v>
      </c>
    </row>
    <row r="12" spans="1:8">
      <c r="A12" s="222">
        <v>5</v>
      </c>
      <c r="B12" s="404" t="s">
        <v>382</v>
      </c>
      <c r="C12" s="405"/>
      <c r="D12" s="224">
        <f>SUM(D8:D11)</f>
        <v>6.0700000000000004E-2</v>
      </c>
    </row>
    <row r="13" spans="1:8">
      <c r="A13" s="222">
        <v>6</v>
      </c>
      <c r="B13" s="403" t="s">
        <v>383</v>
      </c>
      <c r="C13" s="403"/>
      <c r="D13" s="224">
        <v>1.23E-2</v>
      </c>
    </row>
    <row r="14" spans="1:8">
      <c r="A14" s="222">
        <v>7</v>
      </c>
      <c r="B14" s="11" t="s">
        <v>384</v>
      </c>
      <c r="C14" s="11"/>
      <c r="D14" s="224">
        <v>7.3999999999999996E-2</v>
      </c>
    </row>
    <row r="15" spans="1:8">
      <c r="A15" s="222">
        <v>8</v>
      </c>
      <c r="B15" s="403" t="s">
        <v>381</v>
      </c>
      <c r="C15" s="403"/>
      <c r="D15" s="224">
        <v>0</v>
      </c>
    </row>
    <row r="16" spans="1:8">
      <c r="A16" s="225">
        <v>9</v>
      </c>
      <c r="B16" s="404" t="s">
        <v>385</v>
      </c>
      <c r="C16" s="405"/>
      <c r="D16" s="224">
        <f>(D13+1)*(1+D14)*(1+D15)-1</f>
        <v>8.7210200000000127E-2</v>
      </c>
    </row>
    <row r="17" spans="1:4">
      <c r="A17" s="406" t="s">
        <v>386</v>
      </c>
      <c r="B17" s="407"/>
      <c r="C17" s="408"/>
      <c r="D17" s="226">
        <f>((1+D$16)*(1+D$12))-1</f>
        <v>0.15320385914000001</v>
      </c>
    </row>
    <row r="18" spans="1:4">
      <c r="A18" s="409">
        <v>10</v>
      </c>
      <c r="B18" s="412" t="s">
        <v>387</v>
      </c>
      <c r="C18" s="223" t="s">
        <v>388</v>
      </c>
      <c r="D18" s="224">
        <v>0.03</v>
      </c>
    </row>
    <row r="19" spans="1:4">
      <c r="A19" s="410"/>
      <c r="B19" s="413"/>
      <c r="C19" s="223" t="s">
        <v>389</v>
      </c>
      <c r="D19" s="224">
        <v>6.4999999999999997E-3</v>
      </c>
    </row>
    <row r="20" spans="1:4">
      <c r="A20" s="410"/>
      <c r="B20" s="413"/>
      <c r="C20" s="227" t="s">
        <v>390</v>
      </c>
      <c r="D20" s="224">
        <v>0.05</v>
      </c>
    </row>
    <row r="21" spans="1:4">
      <c r="A21" s="410"/>
      <c r="B21" s="413"/>
      <c r="C21" s="228" t="s">
        <v>391</v>
      </c>
      <c r="D21" s="229">
        <f>SUM(D18:D20)</f>
        <v>8.6499999999999994E-2</v>
      </c>
    </row>
    <row r="22" spans="1:4">
      <c r="A22" s="410"/>
      <c r="B22" s="413"/>
      <c r="C22" s="230" t="s">
        <v>392</v>
      </c>
      <c r="D22" s="224"/>
    </row>
    <row r="23" spans="1:4">
      <c r="A23" s="411"/>
      <c r="B23" s="414"/>
      <c r="C23" s="228" t="s">
        <v>393</v>
      </c>
      <c r="D23" s="229">
        <f>D21+D22</f>
        <v>8.6499999999999994E-2</v>
      </c>
    </row>
    <row r="24" spans="1:4" ht="15" thickBot="1">
      <c r="A24" s="397" t="s">
        <v>394</v>
      </c>
      <c r="B24" s="398"/>
      <c r="C24" s="398"/>
      <c r="D24" s="231">
        <f>((D$17+1)/(1-D23))-1</f>
        <v>0.26240159730706081</v>
      </c>
    </row>
    <row r="25" spans="1:4" ht="15" thickTop="1">
      <c r="A25" s="399" t="s">
        <v>395</v>
      </c>
      <c r="B25" s="399"/>
      <c r="C25" s="399"/>
      <c r="D25" s="399"/>
    </row>
    <row r="26" spans="1:4">
      <c r="A26" s="400" t="s">
        <v>396</v>
      </c>
      <c r="B26" s="400"/>
      <c r="C26" s="400"/>
      <c r="D26" s="400" t="s">
        <v>397</v>
      </c>
    </row>
    <row r="27" spans="1:4">
      <c r="A27" s="400"/>
      <c r="B27" s="400"/>
      <c r="C27" s="400"/>
      <c r="D27" s="400"/>
    </row>
    <row r="28" spans="1:4">
      <c r="A28" s="400" t="s">
        <v>398</v>
      </c>
      <c r="B28" s="400"/>
      <c r="C28" s="400"/>
      <c r="D28" s="400"/>
    </row>
    <row r="29" spans="1:4">
      <c r="A29" s="400"/>
      <c r="B29" s="400"/>
      <c r="C29" s="400"/>
      <c r="D29" s="400"/>
    </row>
    <row r="30" spans="1:4">
      <c r="A30" s="401" t="s">
        <v>399</v>
      </c>
      <c r="B30" s="401"/>
      <c r="C30" s="401"/>
      <c r="D30" s="401"/>
    </row>
    <row r="31" spans="1:4">
      <c r="A31" s="402"/>
      <c r="B31" s="402"/>
      <c r="C31" s="402"/>
      <c r="D31" s="402"/>
    </row>
    <row r="32" spans="1:4" ht="4.5" customHeight="1">
      <c r="A32" s="402"/>
      <c r="B32" s="402"/>
      <c r="C32" s="402"/>
      <c r="D32" s="402"/>
    </row>
    <row r="33" spans="1:4">
      <c r="A33" s="232" t="s">
        <v>400</v>
      </c>
      <c r="B33" s="232"/>
      <c r="C33" s="232"/>
      <c r="D33" s="233"/>
    </row>
    <row r="34" spans="1:4">
      <c r="A34" s="234" t="s">
        <v>401</v>
      </c>
      <c r="B34" s="234"/>
      <c r="C34" s="234" t="s">
        <v>402</v>
      </c>
      <c r="D34" s="235"/>
    </row>
    <row r="35" spans="1:4">
      <c r="A35" s="236" t="s">
        <v>403</v>
      </c>
      <c r="B35" s="237"/>
      <c r="C35" s="238" t="s">
        <v>404</v>
      </c>
      <c r="D35" s="239"/>
    </row>
    <row r="36" spans="1:4">
      <c r="A36" s="395" t="s">
        <v>405</v>
      </c>
      <c r="B36" s="395"/>
      <c r="C36" s="240"/>
      <c r="D36" s="241"/>
    </row>
    <row r="37" spans="1:4">
      <c r="A37" s="237" t="s">
        <v>406</v>
      </c>
      <c r="B37" s="237"/>
      <c r="C37" s="237"/>
      <c r="D37" s="241"/>
    </row>
    <row r="38" spans="1:4">
      <c r="A38" s="396" t="s">
        <v>407</v>
      </c>
      <c r="B38" s="396"/>
      <c r="C38" s="396"/>
      <c r="D38" s="243"/>
    </row>
    <row r="39" spans="1:4">
      <c r="A39" s="234" t="s">
        <v>408</v>
      </c>
      <c r="B39" s="242"/>
      <c r="C39" s="242"/>
      <c r="D39" s="239"/>
    </row>
    <row r="40" spans="1:4">
      <c r="A40" s="234" t="s">
        <v>409</v>
      </c>
      <c r="B40" s="234"/>
      <c r="C40" s="234"/>
      <c r="D40" s="241"/>
    </row>
    <row r="41" spans="1:4">
      <c r="A41" s="233" t="s">
        <v>410</v>
      </c>
      <c r="B41" s="233"/>
      <c r="C41" s="233"/>
      <c r="D41" s="233"/>
    </row>
    <row r="42" spans="1:4">
      <c r="A42" s="235" t="s">
        <v>411</v>
      </c>
    </row>
    <row r="43" spans="1:4">
      <c r="A43" t="s">
        <v>412</v>
      </c>
    </row>
    <row r="44" spans="1:4">
      <c r="A44" t="s">
        <v>413</v>
      </c>
    </row>
    <row r="45" spans="1:4">
      <c r="A45" t="s">
        <v>414</v>
      </c>
    </row>
    <row r="46" spans="1:4">
      <c r="A46" s="244"/>
      <c r="B46" s="244"/>
      <c r="C46" s="244"/>
      <c r="D46" s="244"/>
    </row>
    <row r="47" spans="1:4">
      <c r="A47" s="244" t="s">
        <v>415</v>
      </c>
      <c r="B47" s="244"/>
      <c r="C47" s="244"/>
      <c r="D47" s="244"/>
    </row>
  </sheetData>
  <mergeCells count="24">
    <mergeCell ref="A18:A23"/>
    <mergeCell ref="B18:B23"/>
    <mergeCell ref="B7:C7"/>
    <mergeCell ref="B8:C8"/>
    <mergeCell ref="B9:C9"/>
    <mergeCell ref="B10:C10"/>
    <mergeCell ref="B11:C11"/>
    <mergeCell ref="B12:C12"/>
    <mergeCell ref="A36:B36"/>
    <mergeCell ref="A38:C38"/>
    <mergeCell ref="A5:D5"/>
    <mergeCell ref="A4:D4"/>
    <mergeCell ref="A1:D1"/>
    <mergeCell ref="A2:D2"/>
    <mergeCell ref="A24:C24"/>
    <mergeCell ref="A25:D25"/>
    <mergeCell ref="A26:C27"/>
    <mergeCell ref="D26:D27"/>
    <mergeCell ref="A28:D29"/>
    <mergeCell ref="A30:D32"/>
    <mergeCell ref="B13:C13"/>
    <mergeCell ref="B15:C15"/>
    <mergeCell ref="B16:C16"/>
    <mergeCell ref="A17:C17"/>
  </mergeCells>
  <pageMargins left="0.511811024" right="0.511811024" top="0.78740157499999996" bottom="0.78740157499999996" header="0.31496062000000002" footer="0.31496062000000002"/>
  <pageSetup paperSize="9" scale="83" fitToHeight="0" orientation="landscape" r:id="rId1"/>
  <headerFooter>
    <oddHeader>&amp;L&amp;G&amp;CProcesso 23069.152417/2023-62
PE 25/2023&amp;R&amp;G</oddHeader>
    <oddFooter>&amp;L&amp;"-,Itálico"&amp;9&amp;A&amp;R&amp;"-,Itálico"&amp;9Página &amp;P de &amp;N</oddFooter>
  </headerFooter>
  <colBreaks count="1" manualBreakCount="1">
    <brk id="7"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3</vt:i4>
      </vt:variant>
    </vt:vector>
  </HeadingPairs>
  <TitlesOfParts>
    <vt:vector size="15" baseType="lpstr">
      <vt:lpstr>MENU PLANILHA</vt:lpstr>
      <vt:lpstr>An IIA Distribuição Postos</vt:lpstr>
      <vt:lpstr>An IIB Relação das Unidades</vt:lpstr>
      <vt:lpstr>An IIC Uniformes e EPIS</vt:lpstr>
      <vt:lpstr>An IID Equipamentos</vt:lpstr>
      <vt:lpstr>An IIE Dist. Equip.</vt:lpstr>
      <vt:lpstr>An IIIA Postos 1</vt:lpstr>
      <vt:lpstr>Anexo IV A Custos Mão de Obra</vt:lpstr>
      <vt:lpstr>Anexo IV B BDI Serviços</vt:lpstr>
      <vt:lpstr>Anexo IV C BDI Material</vt:lpstr>
      <vt:lpstr>Anexo IV D Custos Eventuais</vt:lpstr>
      <vt:lpstr>Anexo IV E Custos Totais</vt:lpstr>
      <vt:lpstr>'An IIA Distribuição Postos'!Area_de_impressao</vt:lpstr>
      <vt:lpstr>'An IID Equipamentos'!Area_de_impressao</vt:lpstr>
      <vt:lpstr>'Anexo IV A Custos Mão de Obra'!Area_de_impressao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Ramos</dc:creator>
  <cp:lastModifiedBy>Hellen Medeiros</cp:lastModifiedBy>
  <cp:lastPrinted>2023-05-03T23:31:33Z</cp:lastPrinted>
  <dcterms:created xsi:type="dcterms:W3CDTF">2021-10-25T18:50:00Z</dcterms:created>
  <dcterms:modified xsi:type="dcterms:W3CDTF">2023-05-05T14:21:06Z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32B60D6F67174E728979D980376C20C5</vt:lpwstr>
  </property>
  <property fmtid="{D5CDD505-2E9C-101B-9397-08002B2CF9AE}" pid="3" name="KSOProductBuildVer">
    <vt:lpwstr>1046-11.2.0.10351</vt:lpwstr>
  </property>
</Properties>
</file>