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CON JP\2023\Licitações\Restaurante Universitário\"/>
    </mc:Choice>
  </mc:AlternateContent>
  <xr:revisionPtr revIDLastSave="0" documentId="13_ncr:1_{716EC36A-AA5E-4E99-8A44-C02EFF8DEAEE}" xr6:coauthVersionLast="47" xr6:coauthVersionMax="47" xr10:uidLastSave="{00000000-0000-0000-0000-000000000000}"/>
  <bookViews>
    <workbookView xWindow="-120" yWindow="-120" windowWidth="20730" windowHeight="11040" tabRatio="816" firstSheet="4" activeTab="4" xr2:uid="{B47CC2C9-1281-411E-8D79-F6BC3AD5AFC8}"/>
  </bookViews>
  <sheets>
    <sheet name="MENU PLANILHA" sheetId="18" r:id="rId1"/>
    <sheet name="Anexo II-A Salários" sheetId="22" r:id="rId2"/>
    <sheet name="Anexo II-B Distribuição" sheetId="24" r:id="rId3"/>
    <sheet name="Anexo III-A Equip." sheetId="1" r:id="rId4"/>
    <sheet name="Anexo III-B Uniformes" sheetId="5" r:id="rId5"/>
    <sheet name="An IV A Custo Grupo 1" sheetId="19" r:id="rId6"/>
    <sheet name="An IV B Custo Grupo 2" sheetId="20" r:id="rId7"/>
    <sheet name="An IV C Custo Grupo 3" sheetId="21" r:id="rId8"/>
    <sheet name="Anexo IV - Custo Total MDO" sheetId="10" r:id="rId9"/>
  </sheets>
  <definedNames>
    <definedName name="_xlnm.Print_Area" localSheetId="5">'An IV A Custo Grupo 1'!$A$1:$H$158</definedName>
    <definedName name="_xlnm.Print_Area" localSheetId="6">'An IV B Custo Grupo 2'!$A$1:$H$158</definedName>
    <definedName name="_xlnm.Print_Area" localSheetId="7">'An IV C Custo Grupo 3'!$A$1:$G$157</definedName>
    <definedName name="_xlnm.Print_Area" localSheetId="1">'Anexo II-A Salários'!$A$1:$E$22</definedName>
    <definedName name="_xlnm.Print_Area" localSheetId="4">'Anexo III-B Uniformes'!$A$1:$I$175</definedName>
    <definedName name="_xlnm.Print_Area" localSheetId="8">'Anexo IV - Custo Total MDO'!$A$1:$G$23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21" l="1"/>
  <c r="F77" i="21"/>
  <c r="G77" i="21"/>
  <c r="D77" i="21"/>
  <c r="E78" i="20"/>
  <c r="F78" i="20"/>
  <c r="G78" i="20"/>
  <c r="H78" i="20"/>
  <c r="D78" i="20"/>
  <c r="E78" i="19"/>
  <c r="F78" i="19"/>
  <c r="G78" i="19"/>
  <c r="H78" i="19"/>
  <c r="D78" i="19"/>
  <c r="F105" i="21"/>
  <c r="G106" i="19"/>
  <c r="F106" i="19"/>
  <c r="E106" i="19"/>
  <c r="D106" i="19"/>
  <c r="I150" i="5"/>
  <c r="F150" i="5"/>
  <c r="I86" i="5"/>
  <c r="I65" i="5"/>
  <c r="I69" i="5"/>
  <c r="I73" i="5"/>
  <c r="I77" i="5"/>
  <c r="F72" i="5"/>
  <c r="I72" i="5" s="1"/>
  <c r="I43" i="5"/>
  <c r="I37" i="5"/>
  <c r="F173" i="5"/>
  <c r="I173" i="5" s="1"/>
  <c r="F172" i="5"/>
  <c r="I172" i="5" s="1"/>
  <c r="F171" i="5"/>
  <c r="I171" i="5" s="1"/>
  <c r="F170" i="5"/>
  <c r="I170" i="5" s="1"/>
  <c r="F169" i="5"/>
  <c r="I169" i="5" s="1"/>
  <c r="F168" i="5"/>
  <c r="I168" i="5" s="1"/>
  <c r="F167" i="5"/>
  <c r="I167" i="5" s="1"/>
  <c r="F166" i="5"/>
  <c r="I166" i="5" s="1"/>
  <c r="F165" i="5"/>
  <c r="I165" i="5" s="1"/>
  <c r="I164" i="5"/>
  <c r="F164" i="5"/>
  <c r="F163" i="5"/>
  <c r="I163" i="5" s="1"/>
  <c r="F162" i="5"/>
  <c r="I162" i="5" s="1"/>
  <c r="F156" i="5"/>
  <c r="I156" i="5" s="1"/>
  <c r="F155" i="5"/>
  <c r="I155" i="5" s="1"/>
  <c r="F154" i="5"/>
  <c r="I154" i="5" s="1"/>
  <c r="F153" i="5"/>
  <c r="I153" i="5" s="1"/>
  <c r="F152" i="5"/>
  <c r="I152" i="5" s="1"/>
  <c r="F151" i="5"/>
  <c r="I151" i="5" s="1"/>
  <c r="F149" i="5"/>
  <c r="I149" i="5" s="1"/>
  <c r="F148" i="5"/>
  <c r="I148" i="5" s="1"/>
  <c r="F147" i="5"/>
  <c r="I147" i="5" s="1"/>
  <c r="F146" i="5"/>
  <c r="I146" i="5" s="1"/>
  <c r="F145" i="5"/>
  <c r="I145" i="5" s="1"/>
  <c r="F144" i="5"/>
  <c r="I144" i="5" s="1"/>
  <c r="F143" i="5"/>
  <c r="I143" i="5" s="1"/>
  <c r="F142" i="5"/>
  <c r="I142" i="5" s="1"/>
  <c r="F141" i="5"/>
  <c r="I141" i="5" s="1"/>
  <c r="F140" i="5"/>
  <c r="I140" i="5" s="1"/>
  <c r="F134" i="5"/>
  <c r="I134" i="5" s="1"/>
  <c r="F133" i="5"/>
  <c r="I133" i="5" s="1"/>
  <c r="F132" i="5"/>
  <c r="I132" i="5" s="1"/>
  <c r="F131" i="5"/>
  <c r="I131" i="5" s="1"/>
  <c r="F130" i="5"/>
  <c r="I130" i="5" s="1"/>
  <c r="F129" i="5"/>
  <c r="I129" i="5" s="1"/>
  <c r="F128" i="5"/>
  <c r="I128" i="5" s="1"/>
  <c r="F127" i="5"/>
  <c r="I127" i="5" s="1"/>
  <c r="F126" i="5"/>
  <c r="I126" i="5" s="1"/>
  <c r="F125" i="5"/>
  <c r="I125" i="5" s="1"/>
  <c r="F124" i="5"/>
  <c r="I124" i="5" s="1"/>
  <c r="F123" i="5"/>
  <c r="I123" i="5" s="1"/>
  <c r="F122" i="5"/>
  <c r="I122" i="5" s="1"/>
  <c r="F115" i="5"/>
  <c r="I115" i="5" s="1"/>
  <c r="F114" i="5"/>
  <c r="I114" i="5" s="1"/>
  <c r="F113" i="5"/>
  <c r="I113" i="5" s="1"/>
  <c r="F112" i="5"/>
  <c r="I112" i="5" s="1"/>
  <c r="F111" i="5"/>
  <c r="I111" i="5" s="1"/>
  <c r="F110" i="5"/>
  <c r="I110" i="5" s="1"/>
  <c r="F109" i="5"/>
  <c r="I109" i="5" s="1"/>
  <c r="F108" i="5"/>
  <c r="I108" i="5" s="1"/>
  <c r="F107" i="5"/>
  <c r="I107" i="5" s="1"/>
  <c r="F106" i="5"/>
  <c r="I106" i="5" s="1"/>
  <c r="F105" i="5"/>
  <c r="I105" i="5" s="1"/>
  <c r="F104" i="5"/>
  <c r="I104" i="5" s="1"/>
  <c r="F103" i="5"/>
  <c r="I103" i="5" s="1"/>
  <c r="F96" i="5"/>
  <c r="I96" i="5" s="1"/>
  <c r="F95" i="5"/>
  <c r="I95" i="5" s="1"/>
  <c r="F94" i="5"/>
  <c r="I94" i="5" s="1"/>
  <c r="F93" i="5"/>
  <c r="I93" i="5" s="1"/>
  <c r="F92" i="5"/>
  <c r="I92" i="5" s="1"/>
  <c r="F91" i="5"/>
  <c r="I91" i="5" s="1"/>
  <c r="F90" i="5"/>
  <c r="I90" i="5" s="1"/>
  <c r="F89" i="5"/>
  <c r="I89" i="5" s="1"/>
  <c r="F88" i="5"/>
  <c r="I88" i="5" s="1"/>
  <c r="F87" i="5"/>
  <c r="I87" i="5" s="1"/>
  <c r="F86" i="5"/>
  <c r="F79" i="5"/>
  <c r="I79" i="5" s="1"/>
  <c r="F78" i="5"/>
  <c r="I78" i="5" s="1"/>
  <c r="F77" i="5"/>
  <c r="F76" i="5"/>
  <c r="I76" i="5" s="1"/>
  <c r="F75" i="5"/>
  <c r="I75" i="5" s="1"/>
  <c r="F74" i="5"/>
  <c r="I74" i="5" s="1"/>
  <c r="F73" i="5"/>
  <c r="F71" i="5"/>
  <c r="I71" i="5" s="1"/>
  <c r="F70" i="5"/>
  <c r="I70" i="5" s="1"/>
  <c r="F69" i="5"/>
  <c r="F68" i="5"/>
  <c r="I68" i="5" s="1"/>
  <c r="F67" i="5"/>
  <c r="I67" i="5" s="1"/>
  <c r="F66" i="5"/>
  <c r="I66" i="5" s="1"/>
  <c r="F65" i="5"/>
  <c r="F64" i="5"/>
  <c r="I64" i="5" s="1"/>
  <c r="F58" i="5"/>
  <c r="I58" i="5" s="1"/>
  <c r="F57" i="5"/>
  <c r="I57" i="5" s="1"/>
  <c r="F56" i="5"/>
  <c r="I56" i="5" s="1"/>
  <c r="F55" i="5"/>
  <c r="I55" i="5" s="1"/>
  <c r="F54" i="5"/>
  <c r="I54" i="5" s="1"/>
  <c r="F53" i="5"/>
  <c r="I53" i="5" s="1"/>
  <c r="F52" i="5"/>
  <c r="I52" i="5" s="1"/>
  <c r="F51" i="5"/>
  <c r="I51" i="5" s="1"/>
  <c r="F50" i="5"/>
  <c r="I50" i="5" s="1"/>
  <c r="F49" i="5"/>
  <c r="I49" i="5" s="1"/>
  <c r="F43" i="5"/>
  <c r="F42" i="5"/>
  <c r="I42" i="5" s="1"/>
  <c r="F41" i="5"/>
  <c r="I41" i="5" s="1"/>
  <c r="F40" i="5"/>
  <c r="I40" i="5" s="1"/>
  <c r="F39" i="5"/>
  <c r="I39" i="5" s="1"/>
  <c r="F38" i="5"/>
  <c r="I38" i="5" s="1"/>
  <c r="F36" i="5"/>
  <c r="I36" i="5" s="1"/>
  <c r="F35" i="5"/>
  <c r="I35" i="5" s="1"/>
  <c r="F29" i="5"/>
  <c r="I29" i="5" s="1"/>
  <c r="F28" i="5"/>
  <c r="I28" i="5" s="1"/>
  <c r="F27" i="5"/>
  <c r="I27" i="5" s="1"/>
  <c r="F26" i="5"/>
  <c r="I26" i="5" s="1"/>
  <c r="F25" i="5"/>
  <c r="I25" i="5" s="1"/>
  <c r="F24" i="5"/>
  <c r="I24" i="5" s="1"/>
  <c r="F23" i="5"/>
  <c r="I23" i="5" s="1"/>
  <c r="F22" i="5"/>
  <c r="I22" i="5" s="1"/>
  <c r="F21" i="5"/>
  <c r="I21" i="5" s="1"/>
  <c r="F20" i="5"/>
  <c r="I20" i="5" s="1"/>
  <c r="F13" i="5"/>
  <c r="I13" i="5" s="1"/>
  <c r="F12" i="5"/>
  <c r="I12" i="5" s="1"/>
  <c r="F11" i="5"/>
  <c r="I11" i="5" s="1"/>
  <c r="F10" i="5"/>
  <c r="I10" i="5" s="1"/>
  <c r="F9" i="5"/>
  <c r="I9" i="5" s="1"/>
  <c r="G57" i="21"/>
  <c r="I80" i="5" l="1"/>
  <c r="I81" i="5" s="1"/>
  <c r="I157" i="5"/>
  <c r="I158" i="5" s="1"/>
  <c r="I97" i="5"/>
  <c r="I98" i="5" s="1"/>
  <c r="I174" i="5"/>
  <c r="I175" i="5" s="1"/>
  <c r="I116" i="5"/>
  <c r="I117" i="5" s="1"/>
  <c r="I135" i="5"/>
  <c r="I136" i="5" s="1"/>
  <c r="I30" i="5"/>
  <c r="I31" i="5" s="1"/>
  <c r="I44" i="5"/>
  <c r="I45" i="5" s="1"/>
  <c r="E106" i="20" s="1"/>
  <c r="I14" i="5"/>
  <c r="I15" i="5" s="1"/>
  <c r="I59" i="5"/>
  <c r="I60" i="5" s="1"/>
  <c r="F12" i="1"/>
  <c r="H63" i="19"/>
  <c r="G63" i="19"/>
  <c r="F63" i="19"/>
  <c r="E63" i="19"/>
  <c r="D63" i="19"/>
  <c r="H62" i="19"/>
  <c r="G62" i="19"/>
  <c r="F62" i="19"/>
  <c r="E62" i="19"/>
  <c r="D62" i="19"/>
  <c r="E63" i="21"/>
  <c r="F63" i="21"/>
  <c r="G63" i="21"/>
  <c r="D63" i="21"/>
  <c r="F64" i="20"/>
  <c r="G64" i="20"/>
  <c r="H64" i="20"/>
  <c r="D64" i="20"/>
  <c r="H63" i="20"/>
  <c r="G63" i="20"/>
  <c r="F63" i="20"/>
  <c r="E63" i="20"/>
  <c r="D63" i="20"/>
  <c r="G62" i="20"/>
  <c r="F62" i="20"/>
  <c r="E62" i="20"/>
  <c r="D62" i="20"/>
  <c r="G62" i="21"/>
  <c r="F62" i="21"/>
  <c r="E62" i="21"/>
  <c r="D62" i="21"/>
  <c r="G61" i="21"/>
  <c r="F61" i="21"/>
  <c r="E61" i="21"/>
  <c r="D61" i="21"/>
  <c r="H62" i="20"/>
  <c r="D105" i="21" l="1"/>
  <c r="H106" i="20"/>
  <c r="H106" i="19"/>
  <c r="D106" i="20"/>
  <c r="G106" i="20"/>
  <c r="F106" i="20"/>
  <c r="G105" i="21"/>
  <c r="E105" i="21"/>
  <c r="C32" i="24"/>
  <c r="C43" i="24"/>
  <c r="B21" i="21"/>
  <c r="E25" i="21" s="1"/>
  <c r="B22" i="21"/>
  <c r="B23" i="21"/>
  <c r="B20" i="21"/>
  <c r="B21" i="20"/>
  <c r="B22" i="20"/>
  <c r="B23" i="20"/>
  <c r="B24" i="20"/>
  <c r="B20" i="20"/>
  <c r="B24" i="19"/>
  <c r="B22" i="19"/>
  <c r="D10" i="10"/>
  <c r="C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9" i="10"/>
  <c r="D23" i="10" l="1"/>
  <c r="C22" i="22" l="1"/>
  <c r="E58" i="19"/>
  <c r="E64" i="19" s="1"/>
  <c r="F58" i="19"/>
  <c r="F64" i="19" s="1"/>
  <c r="G58" i="19"/>
  <c r="G64" i="19" s="1"/>
  <c r="H58" i="19"/>
  <c r="H64" i="19" s="1"/>
  <c r="D58" i="20"/>
  <c r="E58" i="20"/>
  <c r="E64" i="20" s="1"/>
  <c r="F58" i="20"/>
  <c r="G58" i="20"/>
  <c r="H58" i="20"/>
  <c r="D57" i="21"/>
  <c r="E57" i="21"/>
  <c r="F57" i="21"/>
  <c r="D58" i="19"/>
  <c r="D64" i="19" s="1"/>
  <c r="F9" i="1"/>
  <c r="F10" i="1" s="1"/>
  <c r="F11" i="1" s="1"/>
  <c r="E106" i="21" l="1"/>
  <c r="G107" i="19"/>
  <c r="D107" i="20"/>
  <c r="D106" i="21"/>
  <c r="F107" i="19"/>
  <c r="E107" i="19"/>
  <c r="D107" i="19"/>
  <c r="H107" i="20"/>
  <c r="G107" i="20"/>
  <c r="G106" i="21"/>
  <c r="F107" i="20"/>
  <c r="F106" i="21"/>
  <c r="H107" i="19"/>
  <c r="E107" i="20"/>
  <c r="E109" i="20" s="1"/>
  <c r="G27" i="21"/>
  <c r="G33" i="21" s="1"/>
  <c r="G124" i="21" s="1"/>
  <c r="G149" i="21" s="1"/>
  <c r="F27" i="21"/>
  <c r="F33" i="21" s="1"/>
  <c r="F124" i="21" s="1"/>
  <c r="E27" i="21"/>
  <c r="G69" i="21"/>
  <c r="H28" i="20"/>
  <c r="H34" i="20" s="1"/>
  <c r="H51" i="20" s="1"/>
  <c r="G28" i="20"/>
  <c r="F28" i="20"/>
  <c r="H28" i="19"/>
  <c r="H34" i="19" s="1"/>
  <c r="G28" i="19"/>
  <c r="F28" i="19"/>
  <c r="D109" i="20" l="1"/>
  <c r="H109" i="19"/>
  <c r="H129" i="19" s="1"/>
  <c r="H154" i="19" s="1"/>
  <c r="F69" i="21"/>
  <c r="F108" i="21"/>
  <c r="F128" i="21" s="1"/>
  <c r="F153" i="21" s="1"/>
  <c r="G108" i="21"/>
  <c r="G128" i="21" s="1"/>
  <c r="G153" i="21" s="1"/>
  <c r="F149" i="21"/>
  <c r="G50" i="21"/>
  <c r="G38" i="21"/>
  <c r="G78" i="21"/>
  <c r="G48" i="21"/>
  <c r="G37" i="21"/>
  <c r="G45" i="21"/>
  <c r="G47" i="21"/>
  <c r="G46" i="21"/>
  <c r="G49" i="21"/>
  <c r="G79" i="21"/>
  <c r="G44" i="21"/>
  <c r="G51" i="21"/>
  <c r="G40" i="21"/>
  <c r="F50" i="21"/>
  <c r="F51" i="21"/>
  <c r="F79" i="21"/>
  <c r="F49" i="21"/>
  <c r="F38" i="21"/>
  <c r="F40" i="21"/>
  <c r="F78" i="21"/>
  <c r="F48" i="21"/>
  <c r="F37" i="21"/>
  <c r="F47" i="21"/>
  <c r="F46" i="21"/>
  <c r="F45" i="21"/>
  <c r="F44" i="21"/>
  <c r="H109" i="20"/>
  <c r="H129" i="20" s="1"/>
  <c r="H154" i="20" s="1"/>
  <c r="H38" i="20"/>
  <c r="H70" i="20"/>
  <c r="H39" i="20"/>
  <c r="H125" i="20"/>
  <c r="H150" i="20" s="1"/>
  <c r="H41" i="20"/>
  <c r="H45" i="20"/>
  <c r="H46" i="20"/>
  <c r="H52" i="20"/>
  <c r="H79" i="20"/>
  <c r="H50" i="20"/>
  <c r="H47" i="20"/>
  <c r="H48" i="20"/>
  <c r="H49" i="20"/>
  <c r="H80" i="20"/>
  <c r="H70" i="19"/>
  <c r="H125" i="19"/>
  <c r="H150" i="19" s="1"/>
  <c r="H45" i="19"/>
  <c r="H41" i="19"/>
  <c r="H38" i="19"/>
  <c r="H76" i="19" s="1"/>
  <c r="H49" i="19"/>
  <c r="H52" i="19"/>
  <c r="H79" i="19"/>
  <c r="H46" i="19"/>
  <c r="H47" i="19"/>
  <c r="H80" i="19"/>
  <c r="H48" i="19"/>
  <c r="H39" i="19"/>
  <c r="H50" i="19"/>
  <c r="H51" i="19"/>
  <c r="H75" i="20" l="1"/>
  <c r="G74" i="21"/>
  <c r="H89" i="19"/>
  <c r="H89" i="20"/>
  <c r="F39" i="21"/>
  <c r="F67" i="21" s="1"/>
  <c r="F52" i="21"/>
  <c r="F68" i="21" s="1"/>
  <c r="G75" i="21"/>
  <c r="F75" i="21"/>
  <c r="G88" i="21"/>
  <c r="F88" i="21"/>
  <c r="G52" i="21"/>
  <c r="G68" i="21" s="1"/>
  <c r="G39" i="21"/>
  <c r="G67" i="21" s="1"/>
  <c r="F74" i="21"/>
  <c r="H53" i="20"/>
  <c r="H69" i="20" s="1"/>
  <c r="H40" i="20"/>
  <c r="H68" i="20" s="1"/>
  <c r="H76" i="20"/>
  <c r="H53" i="19"/>
  <c r="H69" i="19" s="1"/>
  <c r="H75" i="19"/>
  <c r="H81" i="19" s="1"/>
  <c r="H127" i="19" s="1"/>
  <c r="H152" i="19" s="1"/>
  <c r="H40" i="19"/>
  <c r="H68" i="19" s="1"/>
  <c r="G70" i="21" l="1"/>
  <c r="G80" i="21"/>
  <c r="G126" i="21" s="1"/>
  <c r="G151" i="21" s="1"/>
  <c r="H81" i="20"/>
  <c r="H127" i="20" s="1"/>
  <c r="H152" i="20" s="1"/>
  <c r="F80" i="21"/>
  <c r="F126" i="21" s="1"/>
  <c r="F151" i="21" s="1"/>
  <c r="H71" i="20"/>
  <c r="F70" i="21"/>
  <c r="H71" i="19"/>
  <c r="D69" i="21"/>
  <c r="C144" i="21"/>
  <c r="C115" i="21"/>
  <c r="C119" i="21" s="1"/>
  <c r="C52" i="21"/>
  <c r="D27" i="21"/>
  <c r="D33" i="21" s="1"/>
  <c r="C145" i="20"/>
  <c r="C116" i="20"/>
  <c r="C120" i="20" s="1"/>
  <c r="D70" i="20"/>
  <c r="C53" i="20"/>
  <c r="F34" i="20"/>
  <c r="E28" i="20"/>
  <c r="E34" i="20" s="1"/>
  <c r="E50" i="20" s="1"/>
  <c r="D28" i="20"/>
  <c r="D34" i="20" s="1"/>
  <c r="C145" i="19"/>
  <c r="C116" i="19"/>
  <c r="C120" i="19" s="1"/>
  <c r="G70" i="19"/>
  <c r="C53" i="19"/>
  <c r="E28" i="19"/>
  <c r="D28" i="19"/>
  <c r="D34" i="19" s="1"/>
  <c r="G125" i="21" l="1"/>
  <c r="G150" i="21" s="1"/>
  <c r="G86" i="21"/>
  <c r="G87" i="21"/>
  <c r="G85" i="21"/>
  <c r="F125" i="21"/>
  <c r="F150" i="21" s="1"/>
  <c r="F86" i="21"/>
  <c r="F87" i="21"/>
  <c r="F85" i="21"/>
  <c r="H126" i="20"/>
  <c r="H151" i="20" s="1"/>
  <c r="H87" i="20"/>
  <c r="H88" i="20"/>
  <c r="H86" i="20"/>
  <c r="H126" i="19"/>
  <c r="H88" i="19"/>
  <c r="H86" i="19"/>
  <c r="H87" i="19"/>
  <c r="D108" i="21"/>
  <c r="D128" i="21" s="1"/>
  <c r="D153" i="21" s="1"/>
  <c r="E108" i="21"/>
  <c r="E128" i="21" s="1"/>
  <c r="E153" i="21" s="1"/>
  <c r="G109" i="20"/>
  <c r="G129" i="20" s="1"/>
  <c r="G154" i="20" s="1"/>
  <c r="D129" i="20"/>
  <c r="D154" i="20" s="1"/>
  <c r="F109" i="20"/>
  <c r="F129" i="20" s="1"/>
  <c r="F154" i="20" s="1"/>
  <c r="F39" i="20"/>
  <c r="F46" i="20"/>
  <c r="G34" i="20"/>
  <c r="G46" i="20" s="1"/>
  <c r="F50" i="20"/>
  <c r="H151" i="19"/>
  <c r="F70" i="19"/>
  <c r="E33" i="21"/>
  <c r="E50" i="21" s="1"/>
  <c r="E69" i="21"/>
  <c r="D78" i="21"/>
  <c r="D50" i="21"/>
  <c r="D48" i="21"/>
  <c r="D46" i="21"/>
  <c r="D44" i="21"/>
  <c r="D37" i="21"/>
  <c r="D124" i="21"/>
  <c r="D79" i="21"/>
  <c r="D51" i="21"/>
  <c r="D49" i="21"/>
  <c r="D47" i="21"/>
  <c r="D45" i="21"/>
  <c r="D40" i="21"/>
  <c r="D38" i="21"/>
  <c r="E129" i="20"/>
  <c r="E154" i="20" s="1"/>
  <c r="F70" i="20"/>
  <c r="E41" i="20"/>
  <c r="E48" i="20"/>
  <c r="E52" i="20"/>
  <c r="F125" i="20"/>
  <c r="F79" i="20"/>
  <c r="F51" i="20"/>
  <c r="F49" i="20"/>
  <c r="F47" i="20"/>
  <c r="F45" i="20"/>
  <c r="F38" i="20"/>
  <c r="F41" i="20"/>
  <c r="F48" i="20"/>
  <c r="F52" i="20"/>
  <c r="E80" i="20"/>
  <c r="F80" i="20"/>
  <c r="D39" i="20"/>
  <c r="D46" i="20"/>
  <c r="D50" i="20"/>
  <c r="E39" i="20"/>
  <c r="E46" i="20"/>
  <c r="E70" i="20"/>
  <c r="D79" i="20"/>
  <c r="D51" i="20"/>
  <c r="D49" i="20"/>
  <c r="D47" i="20"/>
  <c r="D45" i="20"/>
  <c r="D38" i="20"/>
  <c r="D125" i="20"/>
  <c r="D41" i="20"/>
  <c r="D48" i="20"/>
  <c r="D52" i="20"/>
  <c r="E79" i="20"/>
  <c r="E51" i="20"/>
  <c r="E49" i="20"/>
  <c r="E47" i="20"/>
  <c r="E45" i="20"/>
  <c r="E38" i="20"/>
  <c r="E125" i="20"/>
  <c r="G70" i="20"/>
  <c r="D80" i="20"/>
  <c r="G34" i="19"/>
  <c r="G125" i="19" s="1"/>
  <c r="G150" i="19" s="1"/>
  <c r="E34" i="19"/>
  <c r="E41" i="19" s="1"/>
  <c r="F34" i="19"/>
  <c r="F48" i="19" s="1"/>
  <c r="D70" i="19"/>
  <c r="E70" i="19"/>
  <c r="D125" i="19"/>
  <c r="D79" i="19"/>
  <c r="D80" i="19"/>
  <c r="D52" i="19"/>
  <c r="D50" i="19"/>
  <c r="D48" i="19"/>
  <c r="D46" i="19"/>
  <c r="D41" i="19"/>
  <c r="D39" i="19"/>
  <c r="D47" i="19"/>
  <c r="D45" i="19"/>
  <c r="D51" i="19"/>
  <c r="D38" i="19"/>
  <c r="D76" i="19" s="1"/>
  <c r="D49" i="19"/>
  <c r="G90" i="21" l="1"/>
  <c r="G99" i="21" s="1"/>
  <c r="G101" i="21" s="1"/>
  <c r="G127" i="21" s="1"/>
  <c r="G152" i="21" s="1"/>
  <c r="G154" i="21" s="1"/>
  <c r="H91" i="20"/>
  <c r="H100" i="20" s="1"/>
  <c r="H102" i="20" s="1"/>
  <c r="H128" i="20" s="1"/>
  <c r="H130" i="20" s="1"/>
  <c r="F90" i="21"/>
  <c r="F99" i="21" s="1"/>
  <c r="F101" i="21" s="1"/>
  <c r="F127" i="21" s="1"/>
  <c r="F152" i="21" s="1"/>
  <c r="F154" i="21" s="1"/>
  <c r="G129" i="21"/>
  <c r="F40" i="20"/>
  <c r="F68" i="20" s="1"/>
  <c r="F53" i="20"/>
  <c r="F69" i="20" s="1"/>
  <c r="E40" i="20"/>
  <c r="E68" i="20" s="1"/>
  <c r="G39" i="20"/>
  <c r="G45" i="20"/>
  <c r="G47" i="20"/>
  <c r="G50" i="20"/>
  <c r="G51" i="20"/>
  <c r="G52" i="20"/>
  <c r="G48" i="20"/>
  <c r="G41" i="20"/>
  <c r="G125" i="20"/>
  <c r="G150" i="20" s="1"/>
  <c r="G49" i="20"/>
  <c r="G79" i="20"/>
  <c r="G80" i="20"/>
  <c r="G38" i="20"/>
  <c r="G76" i="20" s="1"/>
  <c r="D40" i="20"/>
  <c r="D68" i="20" s="1"/>
  <c r="E76" i="20"/>
  <c r="H91" i="19"/>
  <c r="H100" i="19" s="1"/>
  <c r="H102" i="19" s="1"/>
  <c r="H128" i="19" s="1"/>
  <c r="H153" i="19" s="1"/>
  <c r="H155" i="19" s="1"/>
  <c r="H138" i="19" s="1"/>
  <c r="H139" i="19" s="1"/>
  <c r="F49" i="19"/>
  <c r="F50" i="19"/>
  <c r="F51" i="19"/>
  <c r="F52" i="19"/>
  <c r="F79" i="19"/>
  <c r="F125" i="19"/>
  <c r="F150" i="19" s="1"/>
  <c r="F80" i="19"/>
  <c r="F39" i="19"/>
  <c r="F38" i="19"/>
  <c r="F76" i="19" s="1"/>
  <c r="F41" i="19"/>
  <c r="F45" i="19"/>
  <c r="F46" i="19"/>
  <c r="F47" i="19"/>
  <c r="E51" i="21"/>
  <c r="E78" i="21"/>
  <c r="E124" i="21"/>
  <c r="E149" i="21" s="1"/>
  <c r="E79" i="21"/>
  <c r="E38" i="21"/>
  <c r="E37" i="21"/>
  <c r="E75" i="21" s="1"/>
  <c r="E47" i="21"/>
  <c r="E48" i="21"/>
  <c r="E40" i="21"/>
  <c r="E44" i="21"/>
  <c r="E45" i="21"/>
  <c r="E46" i="21"/>
  <c r="E49" i="21"/>
  <c r="D39" i="21"/>
  <c r="D67" i="21" s="1"/>
  <c r="D52" i="21"/>
  <c r="D68" i="21" s="1"/>
  <c r="D74" i="21"/>
  <c r="D88" i="21"/>
  <c r="D75" i="21"/>
  <c r="D149" i="21"/>
  <c r="D150" i="20"/>
  <c r="F150" i="20"/>
  <c r="D75" i="20"/>
  <c r="E150" i="20"/>
  <c r="E75" i="20"/>
  <c r="D53" i="20"/>
  <c r="D69" i="20" s="1"/>
  <c r="E89" i="20"/>
  <c r="F76" i="20"/>
  <c r="D89" i="20"/>
  <c r="E53" i="20"/>
  <c r="E69" i="20" s="1"/>
  <c r="D76" i="20"/>
  <c r="F75" i="20"/>
  <c r="F89" i="20"/>
  <c r="G49" i="19"/>
  <c r="G48" i="19"/>
  <c r="G79" i="19"/>
  <c r="G51" i="19"/>
  <c r="G50" i="19"/>
  <c r="G47" i="19"/>
  <c r="G46" i="19"/>
  <c r="G52" i="19"/>
  <c r="G45" i="19"/>
  <c r="G80" i="19"/>
  <c r="G41" i="19"/>
  <c r="G38" i="19"/>
  <c r="G76" i="19" s="1"/>
  <c r="G39" i="19"/>
  <c r="E46" i="19"/>
  <c r="E47" i="19"/>
  <c r="E49" i="19"/>
  <c r="E51" i="19"/>
  <c r="E52" i="19"/>
  <c r="E79" i="19"/>
  <c r="E45" i="19"/>
  <c r="E48" i="19"/>
  <c r="E50" i="19"/>
  <c r="E125" i="19"/>
  <c r="E150" i="19" s="1"/>
  <c r="E80" i="19"/>
  <c r="E39" i="19"/>
  <c r="E38" i="19"/>
  <c r="E76" i="19" s="1"/>
  <c r="D89" i="19"/>
  <c r="D40" i="19"/>
  <c r="D68" i="19" s="1"/>
  <c r="D150" i="19"/>
  <c r="D53" i="19"/>
  <c r="D69" i="19" s="1"/>
  <c r="D75" i="19"/>
  <c r="D81" i="19" s="1"/>
  <c r="D127" i="19" s="1"/>
  <c r="D152" i="19" s="1"/>
  <c r="H153" i="20" l="1"/>
  <c r="H155" i="20" s="1"/>
  <c r="H138" i="20" s="1"/>
  <c r="H139" i="20" s="1"/>
  <c r="H143" i="20" s="1"/>
  <c r="F129" i="21"/>
  <c r="F112" i="21" s="1"/>
  <c r="H130" i="19"/>
  <c r="H113" i="19" s="1"/>
  <c r="F137" i="21"/>
  <c r="G112" i="21"/>
  <c r="G137" i="21"/>
  <c r="D70" i="21"/>
  <c r="F71" i="20"/>
  <c r="H113" i="20"/>
  <c r="G53" i="20"/>
  <c r="G69" i="20" s="1"/>
  <c r="G40" i="20"/>
  <c r="G68" i="20" s="1"/>
  <c r="E71" i="20"/>
  <c r="D71" i="20"/>
  <c r="F81" i="20"/>
  <c r="F127" i="20" s="1"/>
  <c r="F152" i="20" s="1"/>
  <c r="E81" i="20"/>
  <c r="E127" i="20" s="1"/>
  <c r="E152" i="20" s="1"/>
  <c r="G89" i="20"/>
  <c r="G75" i="20"/>
  <c r="G81" i="20" s="1"/>
  <c r="G127" i="20" s="1"/>
  <c r="G152" i="20" s="1"/>
  <c r="G89" i="19"/>
  <c r="H143" i="19"/>
  <c r="F75" i="19"/>
  <c r="F81" i="19" s="1"/>
  <c r="F127" i="19" s="1"/>
  <c r="F152" i="19" s="1"/>
  <c r="F53" i="19"/>
  <c r="F69" i="19" s="1"/>
  <c r="F89" i="19"/>
  <c r="H141" i="19"/>
  <c r="F40" i="19"/>
  <c r="F68" i="19" s="1"/>
  <c r="E39" i="21"/>
  <c r="E67" i="21" s="1"/>
  <c r="E53" i="19"/>
  <c r="E69" i="19" s="1"/>
  <c r="E40" i="19"/>
  <c r="E68" i="19" s="1"/>
  <c r="E89" i="19"/>
  <c r="E88" i="21"/>
  <c r="E52" i="21"/>
  <c r="E68" i="21" s="1"/>
  <c r="E74" i="21"/>
  <c r="E80" i="21" s="1"/>
  <c r="E126" i="21" s="1"/>
  <c r="E151" i="21" s="1"/>
  <c r="D80" i="21"/>
  <c r="D126" i="21" s="1"/>
  <c r="D151" i="21" s="1"/>
  <c r="D81" i="20"/>
  <c r="D127" i="20" s="1"/>
  <c r="D152" i="20" s="1"/>
  <c r="G53" i="19"/>
  <c r="G69" i="19" s="1"/>
  <c r="G75" i="19"/>
  <c r="G81" i="19" s="1"/>
  <c r="G127" i="19" s="1"/>
  <c r="G152" i="19" s="1"/>
  <c r="G40" i="19"/>
  <c r="G68" i="19" s="1"/>
  <c r="E75" i="19"/>
  <c r="E81" i="19" s="1"/>
  <c r="E127" i="19" s="1"/>
  <c r="E152" i="19" s="1"/>
  <c r="D71" i="19"/>
  <c r="D125" i="21" l="1"/>
  <c r="D87" i="21"/>
  <c r="D85" i="21"/>
  <c r="D86" i="21"/>
  <c r="F126" i="20"/>
  <c r="F151" i="20" s="1"/>
  <c r="F86" i="20"/>
  <c r="F87" i="20"/>
  <c r="F88" i="20"/>
  <c r="D126" i="20"/>
  <c r="D88" i="20"/>
  <c r="D86" i="20"/>
  <c r="D87" i="20"/>
  <c r="E126" i="20"/>
  <c r="E151" i="20" s="1"/>
  <c r="E86" i="20"/>
  <c r="E87" i="20"/>
  <c r="E88" i="20"/>
  <c r="H114" i="19"/>
  <c r="H116" i="19" s="1"/>
  <c r="H145" i="19"/>
  <c r="H156" i="19" s="1"/>
  <c r="H157" i="19" s="1"/>
  <c r="E13" i="10" s="1"/>
  <c r="F13" i="10" s="1"/>
  <c r="G13" i="10" s="1"/>
  <c r="F138" i="21"/>
  <c r="F113" i="21"/>
  <c r="F115" i="21" s="1"/>
  <c r="G138" i="21"/>
  <c r="G113" i="21"/>
  <c r="G115" i="21" s="1"/>
  <c r="G71" i="20"/>
  <c r="H141" i="20"/>
  <c r="H145" i="20" s="1"/>
  <c r="H156" i="20" s="1"/>
  <c r="H157" i="20" s="1"/>
  <c r="E18" i="10" s="1"/>
  <c r="F18" i="10" s="1"/>
  <c r="G18" i="10" s="1"/>
  <c r="H114" i="20"/>
  <c r="F71" i="19"/>
  <c r="E70" i="21"/>
  <c r="G71" i="19"/>
  <c r="E71" i="19"/>
  <c r="D150" i="21"/>
  <c r="D151" i="20"/>
  <c r="D126" i="19"/>
  <c r="E125" i="21" l="1"/>
  <c r="E150" i="21" s="1"/>
  <c r="E87" i="21"/>
  <c r="E85" i="21"/>
  <c r="E86" i="21"/>
  <c r="G126" i="20"/>
  <c r="G151" i="20" s="1"/>
  <c r="G87" i="20"/>
  <c r="G86" i="20"/>
  <c r="G88" i="20"/>
  <c r="G126" i="19"/>
  <c r="G151" i="19" s="1"/>
  <c r="F126" i="19"/>
  <c r="F151" i="19" s="1"/>
  <c r="E126" i="19"/>
  <c r="E151" i="19" s="1"/>
  <c r="H158" i="19"/>
  <c r="H118" i="19"/>
  <c r="H120" i="19" s="1"/>
  <c r="H131" i="19" s="1"/>
  <c r="H132" i="19" s="1"/>
  <c r="H133" i="19" s="1"/>
  <c r="H158" i="20"/>
  <c r="F117" i="21"/>
  <c r="F119" i="21" s="1"/>
  <c r="F130" i="21" s="1"/>
  <c r="F131" i="21" s="1"/>
  <c r="F132" i="21" s="1"/>
  <c r="F140" i="21"/>
  <c r="F142" i="21"/>
  <c r="G142" i="21"/>
  <c r="G140" i="21"/>
  <c r="G117" i="21"/>
  <c r="G119" i="21" s="1"/>
  <c r="G130" i="21" s="1"/>
  <c r="G131" i="21" s="1"/>
  <c r="D91" i="20"/>
  <c r="D100" i="20" s="1"/>
  <c r="D102" i="20" s="1"/>
  <c r="D128" i="20" s="1"/>
  <c r="D153" i="20" s="1"/>
  <c r="D155" i="20" s="1"/>
  <c r="F91" i="20"/>
  <c r="F100" i="20" s="1"/>
  <c r="F102" i="20" s="1"/>
  <c r="F128" i="20" s="1"/>
  <c r="F153" i="20" s="1"/>
  <c r="F155" i="20" s="1"/>
  <c r="H116" i="20"/>
  <c r="H118" i="20"/>
  <c r="E91" i="20"/>
  <c r="E100" i="20" s="1"/>
  <c r="E102" i="20" s="1"/>
  <c r="E128" i="20" s="1"/>
  <c r="E153" i="20" s="1"/>
  <c r="E155" i="20" s="1"/>
  <c r="D90" i="21"/>
  <c r="D99" i="21" s="1"/>
  <c r="D101" i="21" s="1"/>
  <c r="D127" i="21" s="1"/>
  <c r="D151" i="19"/>
  <c r="G91" i="20" l="1"/>
  <c r="G100" i="20" s="1"/>
  <c r="G102" i="20" s="1"/>
  <c r="G128" i="20" s="1"/>
  <c r="G153" i="20" s="1"/>
  <c r="G155" i="20" s="1"/>
  <c r="G138" i="20" s="1"/>
  <c r="G139" i="20" s="1"/>
  <c r="G143" i="20" s="1"/>
  <c r="F130" i="20"/>
  <c r="F113" i="20" s="1"/>
  <c r="F114" i="20" s="1"/>
  <c r="F118" i="20" s="1"/>
  <c r="D130" i="20"/>
  <c r="D113" i="20" s="1"/>
  <c r="D114" i="20" s="1"/>
  <c r="D118" i="20" s="1"/>
  <c r="G144" i="21"/>
  <c r="G155" i="21" s="1"/>
  <c r="G156" i="21" s="1"/>
  <c r="E22" i="10" s="1"/>
  <c r="F22" i="10" s="1"/>
  <c r="G22" i="10" s="1"/>
  <c r="F144" i="21"/>
  <c r="F155" i="21" s="1"/>
  <c r="F156" i="21" s="1"/>
  <c r="E21" i="10" s="1"/>
  <c r="F21" i="10" s="1"/>
  <c r="G21" i="10" s="1"/>
  <c r="G132" i="21"/>
  <c r="H120" i="20"/>
  <c r="H131" i="20" s="1"/>
  <c r="H132" i="20" s="1"/>
  <c r="H133" i="20" s="1"/>
  <c r="E130" i="20"/>
  <c r="E113" i="20" s="1"/>
  <c r="E114" i="20" s="1"/>
  <c r="E116" i="20" s="1"/>
  <c r="E90" i="21"/>
  <c r="E99" i="21" s="1"/>
  <c r="E101" i="21" s="1"/>
  <c r="E127" i="21" s="1"/>
  <c r="E152" i="21" s="1"/>
  <c r="E154" i="21" s="1"/>
  <c r="E137" i="21" s="1"/>
  <c r="D152" i="21"/>
  <c r="D154" i="21" s="1"/>
  <c r="D129" i="21"/>
  <c r="F138" i="20"/>
  <c r="E138" i="20"/>
  <c r="E139" i="20" s="1"/>
  <c r="E143" i="20" s="1"/>
  <c r="D138" i="20"/>
  <c r="G130" i="20" l="1"/>
  <c r="G113" i="20" s="1"/>
  <c r="G157" i="21"/>
  <c r="F157" i="21"/>
  <c r="E129" i="21"/>
  <c r="E112" i="21" s="1"/>
  <c r="E138" i="21"/>
  <c r="E142" i="21" s="1"/>
  <c r="D112" i="21"/>
  <c r="D137" i="21"/>
  <c r="D138" i="21" s="1"/>
  <c r="D142" i="21" s="1"/>
  <c r="F139" i="20"/>
  <c r="F141" i="20" s="1"/>
  <c r="F116" i="20"/>
  <c r="F120" i="20" s="1"/>
  <c r="F131" i="20" s="1"/>
  <c r="F132" i="20" s="1"/>
  <c r="G141" i="20"/>
  <c r="G145" i="20" s="1"/>
  <c r="G156" i="20" s="1"/>
  <c r="G157" i="20" s="1"/>
  <c r="E17" i="10" s="1"/>
  <c r="F17" i="10" s="1"/>
  <c r="G17" i="10" s="1"/>
  <c r="D116" i="20"/>
  <c r="D120" i="20" s="1"/>
  <c r="D131" i="20" s="1"/>
  <c r="D132" i="20" s="1"/>
  <c r="D133" i="20" s="1"/>
  <c r="D139" i="20"/>
  <c r="D141" i="20" s="1"/>
  <c r="E141" i="20"/>
  <c r="E145" i="20" s="1"/>
  <c r="E156" i="20" s="1"/>
  <c r="E157" i="20" s="1"/>
  <c r="E15" i="10" s="1"/>
  <c r="F15" i="10" s="1"/>
  <c r="G15" i="10" s="1"/>
  <c r="E118" i="20"/>
  <c r="E120" i="20" s="1"/>
  <c r="E131" i="20" s="1"/>
  <c r="E132" i="20" s="1"/>
  <c r="G114" i="20" l="1"/>
  <c r="G116" i="20" s="1"/>
  <c r="E158" i="20"/>
  <c r="G158" i="20"/>
  <c r="F143" i="20"/>
  <c r="F145" i="20" s="1"/>
  <c r="F156" i="20" s="1"/>
  <c r="F157" i="20" s="1"/>
  <c r="E16" i="10" s="1"/>
  <c r="F16" i="10" s="1"/>
  <c r="G16" i="10" s="1"/>
  <c r="E140" i="21"/>
  <c r="E144" i="21" s="1"/>
  <c r="E155" i="21" s="1"/>
  <c r="E156" i="21" s="1"/>
  <c r="E20" i="10" s="1"/>
  <c r="F20" i="10" s="1"/>
  <c r="G20" i="10" s="1"/>
  <c r="E113" i="21"/>
  <c r="E117" i="21" s="1"/>
  <c r="F133" i="20"/>
  <c r="D140" i="21"/>
  <c r="D144" i="21" s="1"/>
  <c r="D155" i="21" s="1"/>
  <c r="D156" i="21" s="1"/>
  <c r="E19" i="10" s="1"/>
  <c r="D113" i="21"/>
  <c r="D115" i="21" s="1"/>
  <c r="E133" i="20"/>
  <c r="D143" i="20"/>
  <c r="D145" i="20" s="1"/>
  <c r="D156" i="20" s="1"/>
  <c r="D157" i="20" s="1"/>
  <c r="E14" i="10" s="1"/>
  <c r="F14" i="10" s="1"/>
  <c r="G14" i="10" s="1"/>
  <c r="F19" i="10" l="1"/>
  <c r="G19" i="10" s="1"/>
  <c r="G118" i="20"/>
  <c r="G120" i="20" s="1"/>
  <c r="G131" i="20" s="1"/>
  <c r="G132" i="20" s="1"/>
  <c r="G133" i="20" s="1"/>
  <c r="E157" i="21"/>
  <c r="D158" i="20"/>
  <c r="F158" i="20"/>
  <c r="E115" i="21"/>
  <c r="E119" i="21" s="1"/>
  <c r="E130" i="21" s="1"/>
  <c r="E131" i="21" s="1"/>
  <c r="D157" i="21"/>
  <c r="D117" i="21"/>
  <c r="D119" i="21" s="1"/>
  <c r="D130" i="21" s="1"/>
  <c r="D131" i="21" s="1"/>
  <c r="D132" i="21" s="1"/>
  <c r="E132" i="21" l="1"/>
  <c r="G109" i="19" l="1"/>
  <c r="D109" i="19"/>
  <c r="F109" i="19"/>
  <c r="E109" i="19"/>
  <c r="G87" i="19" l="1"/>
  <c r="G88" i="19"/>
  <c r="G86" i="19"/>
  <c r="E87" i="19"/>
  <c r="E86" i="19"/>
  <c r="E88" i="19"/>
  <c r="D87" i="19"/>
  <c r="D88" i="19"/>
  <c r="D86" i="19"/>
  <c r="F87" i="19"/>
  <c r="F86" i="19"/>
  <c r="F88" i="19"/>
  <c r="F129" i="19"/>
  <c r="F154" i="19" s="1"/>
  <c r="E129" i="19"/>
  <c r="E154" i="19" s="1"/>
  <c r="G129" i="19"/>
  <c r="G154" i="19" s="1"/>
  <c r="D129" i="19"/>
  <c r="D154" i="19" s="1"/>
  <c r="D91" i="19" l="1"/>
  <c r="F91" i="19"/>
  <c r="F100" i="19" s="1"/>
  <c r="F102" i="19" s="1"/>
  <c r="F128" i="19" s="1"/>
  <c r="F153" i="19" s="1"/>
  <c r="F155" i="19" s="1"/>
  <c r="G91" i="19"/>
  <c r="G100" i="19" s="1"/>
  <c r="G102" i="19" s="1"/>
  <c r="G128" i="19" s="1"/>
  <c r="G153" i="19" s="1"/>
  <c r="G155" i="19" s="1"/>
  <c r="E91" i="19"/>
  <c r="E100" i="19" l="1"/>
  <c r="E102" i="19" s="1"/>
  <c r="E128" i="19" s="1"/>
  <c r="D100" i="19"/>
  <c r="D102" i="19" s="1"/>
  <c r="D128" i="19" s="1"/>
  <c r="F130" i="19"/>
  <c r="F113" i="19" s="1"/>
  <c r="F114" i="19" s="1"/>
  <c r="F116" i="19" s="1"/>
  <c r="G130" i="19"/>
  <c r="G113" i="19" s="1"/>
  <c r="G138" i="19"/>
  <c r="F138" i="19"/>
  <c r="F139" i="19" s="1"/>
  <c r="F141" i="19" s="1"/>
  <c r="E130" i="19" l="1"/>
  <c r="E113" i="19" s="1"/>
  <c r="E114" i="19" s="1"/>
  <c r="E116" i="19" s="1"/>
  <c r="E153" i="19"/>
  <c r="E155" i="19" s="1"/>
  <c r="E138" i="19" s="1"/>
  <c r="E139" i="19" s="1"/>
  <c r="E143" i="19" s="1"/>
  <c r="D153" i="19"/>
  <c r="D155" i="19" s="1"/>
  <c r="D138" i="19" s="1"/>
  <c r="D139" i="19" s="1"/>
  <c r="D141" i="19" s="1"/>
  <c r="D130" i="19"/>
  <c r="D113" i="19" s="1"/>
  <c r="G139" i="19"/>
  <c r="G141" i="19" s="1"/>
  <c r="G114" i="19"/>
  <c r="G118" i="19" s="1"/>
  <c r="F143" i="19"/>
  <c r="F145" i="19" s="1"/>
  <c r="F156" i="19" s="1"/>
  <c r="F157" i="19" s="1"/>
  <c r="E11" i="10" s="1"/>
  <c r="F11" i="10" s="1"/>
  <c r="G11" i="10" s="1"/>
  <c r="F118" i="19"/>
  <c r="F120" i="19" s="1"/>
  <c r="F131" i="19" s="1"/>
  <c r="F132" i="19" s="1"/>
  <c r="E118" i="19"/>
  <c r="E120" i="19" s="1"/>
  <c r="E131" i="19" s="1"/>
  <c r="E132" i="19" s="1"/>
  <c r="D143" i="19" l="1"/>
  <c r="D145" i="19" s="1"/>
  <c r="D156" i="19" s="1"/>
  <c r="D157" i="19" s="1"/>
  <c r="E9" i="10" s="1"/>
  <c r="F9" i="10" s="1"/>
  <c r="G9" i="10" s="1"/>
  <c r="D114" i="19"/>
  <c r="D118" i="19" s="1"/>
  <c r="E141" i="19"/>
  <c r="E145" i="19" s="1"/>
  <c r="E156" i="19" s="1"/>
  <c r="E157" i="19" s="1"/>
  <c r="E10" i="10" s="1"/>
  <c r="F10" i="10" s="1"/>
  <c r="G10" i="10" s="1"/>
  <c r="F133" i="19"/>
  <c r="D158" i="19"/>
  <c r="F158" i="19"/>
  <c r="G143" i="19"/>
  <c r="G145" i="19" s="1"/>
  <c r="G156" i="19" s="1"/>
  <c r="G157" i="19" s="1"/>
  <c r="E12" i="10" s="1"/>
  <c r="F12" i="10" s="1"/>
  <c r="G12" i="10" s="1"/>
  <c r="D116" i="19"/>
  <c r="D120" i="19" s="1"/>
  <c r="D131" i="19" s="1"/>
  <c r="D132" i="19" s="1"/>
  <c r="D133" i="19" s="1"/>
  <c r="E133" i="19"/>
  <c r="G116" i="19"/>
  <c r="G120" i="19" s="1"/>
  <c r="G131" i="19" s="1"/>
  <c r="G132" i="19" s="1"/>
  <c r="E158" i="19" l="1"/>
  <c r="F23" i="10"/>
  <c r="G23" i="10" s="1"/>
  <c r="G158" i="19"/>
  <c r="G133" i="19"/>
</calcChain>
</file>

<file path=xl/sharedStrings.xml><?xml version="1.0" encoding="utf-8"?>
<sst xmlns="http://schemas.openxmlformats.org/spreadsheetml/2006/main" count="1537" uniqueCount="319">
  <si>
    <t>PRÓ-REITORIA DE ADMINISTRAÇÃO</t>
  </si>
  <si>
    <t>Descrição</t>
  </si>
  <si>
    <t>COORDENAÇÃO DE CONTRATOS</t>
  </si>
  <si>
    <t>Item</t>
  </si>
  <si>
    <t>Qnt</t>
  </si>
  <si>
    <t>Valor de referência FIPE</t>
  </si>
  <si>
    <t>Depreciação</t>
  </si>
  <si>
    <t>60 meses</t>
  </si>
  <si>
    <r>
      <t>Anexo III - A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</si>
  <si>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r>
      <t>Anexo III - B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</si>
  <si>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t>ITEM</t>
  </si>
  <si>
    <t>VALOR UNITÁRIO</t>
  </si>
  <si>
    <t>DISCRIMINAÇÃO UNIFORME</t>
  </si>
  <si>
    <t>QUANT. ANUAL POR FUNCIONÁRIO</t>
  </si>
  <si>
    <t>VALOR TOTAL</t>
  </si>
  <si>
    <t>par</t>
  </si>
  <si>
    <t>peça</t>
  </si>
  <si>
    <t>UNID.</t>
  </si>
  <si>
    <t>QT. INICIAL</t>
  </si>
  <si>
    <t>QT. SEMESTRE</t>
  </si>
  <si>
    <t>Relógio de ponto eletrônico</t>
  </si>
  <si>
    <t>Depreciação com base na INSTRUÇÃO NORMATIVA RFB Nº 1700, DE 14 DE MARÇO DE 2017 da Secretaria da Receita Federal do Brasil</t>
  </si>
  <si>
    <t>Depreciação do Relógio de Ponto Cód 8471 - 60 meses</t>
  </si>
  <si>
    <t>Valor Total</t>
  </si>
  <si>
    <t>Total dos equipamentos por mês</t>
  </si>
  <si>
    <t>(PLANILHA A SER FORNECIDA PELA PROPONENTE EM PAPEL TIMBRADO)</t>
  </si>
  <si>
    <r>
      <rPr>
        <sz val="9"/>
        <rFont val="Arial"/>
        <family val="2"/>
        <charset val="1"/>
      </rPr>
      <t xml:space="preserve">EMPRESA </t>
    </r>
    <r>
      <rPr>
        <sz val="9"/>
        <color indexed="10"/>
        <rFont val="Arial"/>
        <family val="2"/>
        <charset val="1"/>
      </rPr>
      <t>(nome da empresa)</t>
    </r>
  </si>
  <si>
    <r>
      <rPr>
        <sz val="9"/>
        <rFont val="Arial"/>
        <family val="2"/>
        <charset val="1"/>
      </rPr>
      <t>CNPJ N.º :</t>
    </r>
    <r>
      <rPr>
        <sz val="9"/>
        <color indexed="10"/>
        <rFont val="Arial"/>
        <family val="2"/>
        <charset val="1"/>
      </rPr>
      <t xml:space="preserve"> (n.º do CNPJ)</t>
    </r>
  </si>
  <si>
    <r>
      <rPr>
        <b/>
        <sz val="9"/>
        <rFont val="Arial"/>
        <family val="2"/>
        <charset val="1"/>
      </rPr>
      <t>PLANILHA DE COMPOSIÇÃO DE CUSTOS E FORMAÇÃO DE PREÇOS</t>
    </r>
    <r>
      <rPr>
        <sz val="9"/>
        <rFont val="Arial"/>
        <family val="2"/>
        <charset val="1"/>
      </rPr>
      <t xml:space="preserve"> (Anexo VII da I.N. da SLTI/MPOG n.º 5 de 26/Maio/2017			</t>
    </r>
  </si>
  <si>
    <t>MÃO-DE-OBRA VINCULADA À EXECUÇÃO CONTRATUAL</t>
  </si>
  <si>
    <t>Dados para composição dos custos referentes a mão de obra</t>
  </si>
  <si>
    <t>MÓDULO 1 : COMPOSIÇÃO DA REMUNERAÇÃO</t>
  </si>
  <si>
    <t>Composição da Remuneração</t>
  </si>
  <si>
    <t>Valor(R$)</t>
  </si>
  <si>
    <t>A</t>
  </si>
  <si>
    <t>Salário Base</t>
  </si>
  <si>
    <t>B</t>
  </si>
  <si>
    <t>Adicional de Periculosidade</t>
  </si>
  <si>
    <t>C</t>
  </si>
  <si>
    <t>D</t>
  </si>
  <si>
    <t>Adicional Noturno</t>
  </si>
  <si>
    <t>E</t>
  </si>
  <si>
    <t>Adicional de Hora Noturna Reduzida</t>
  </si>
  <si>
    <t>F</t>
  </si>
  <si>
    <t xml:space="preserve">Outros </t>
  </si>
  <si>
    <t>Total de Remuneração</t>
  </si>
  <si>
    <t>MÓDULO 2: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</si>
  <si>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</si>
  <si>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</si>
  <si>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</si>
  <si>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Valor (R$)</t>
  </si>
  <si>
    <t>13º (décimo terceiro) Salário</t>
  </si>
  <si>
    <t>Férias e Adicional de Férias</t>
  </si>
  <si>
    <t>Total</t>
  </si>
  <si>
    <t>Incidência do Submódulo 2.2 - Encargos previdenciários (GPS), FGTS e outras contribuições                                                                                     (Cálculo sobre a remuneração, pois será adotada a Conta Vinculada)</t>
  </si>
  <si>
    <t>Submódulo 2.2 - Encargos Previdenciários (GPS), Fundo de Garantia por Tempo de Serviço (FGTS) e outras contribuições</t>
  </si>
  <si>
    <t>2.2</t>
  </si>
  <si>
    <t>GPS, FGTS e outras contribuições</t>
  </si>
  <si>
    <t>%</t>
  </si>
  <si>
    <t>INSS</t>
  </si>
  <si>
    <t>Salário Educação</t>
  </si>
  <si>
    <t>Seguro acidente do trabalho</t>
  </si>
  <si>
    <t>SESI ou SESC</t>
  </si>
  <si>
    <t>SENAI ou SENAC</t>
  </si>
  <si>
    <t>SEBRAE</t>
  </si>
  <si>
    <t>G</t>
  </si>
  <si>
    <t>INCRA</t>
  </si>
  <si>
    <t>H</t>
  </si>
  <si>
    <t>FGTS</t>
  </si>
  <si>
    <t>TOTAL</t>
  </si>
  <si>
    <t>Itens não aplicáveis a Optantes do SIMPLES</t>
  </si>
  <si>
    <t>Submódulo 2.3 - Benefícios Mensais e Diários</t>
  </si>
  <si>
    <t>2.3</t>
  </si>
  <si>
    <t>Benefícios Mensais e Diários</t>
  </si>
  <si>
    <t>Total de Benefícios Mensais e Diários</t>
  </si>
  <si>
    <t>Quadro-Resumo do Módulo 2 - Encargos e Benefícios anuais, mensais e diários</t>
  </si>
  <si>
    <t>Encargos e Benefícios Anuais,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</si>
  <si>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</si>
  <si>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</si>
  <si>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</si>
  <si>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</si>
  <si>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</si>
  <si>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</si>
  <si>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</si>
  <si>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</si>
  <si>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4: CUSTO DE REPOSIÇÃO DO PROFISSIONAL AUSENTE</t>
  </si>
  <si>
    <t>4.1</t>
  </si>
  <si>
    <t>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</si>
  <si>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</si>
  <si>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</si>
  <si>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</si>
  <si>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</si>
  <si>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</si>
  <si>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</si>
  <si>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</si>
  <si>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</si>
  <si>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</si>
  <si>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ou alimentação</t>
  </si>
  <si>
    <t>Quadro-Resumo do Módulo 4 - Custo de Reposição do Profissional Ausente</t>
  </si>
  <si>
    <t>Custo de reposição</t>
  </si>
  <si>
    <t>MÓDULO 5: INSUMOS DIVERSOS</t>
  </si>
  <si>
    <t>Insumos Diversos</t>
  </si>
  <si>
    <t>Equipamentos</t>
  </si>
  <si>
    <t>Total de Insumos Diversos</t>
  </si>
  <si>
    <t>MÓDULO 6: CUSTOS INDIRETOS, TRIBUTOS E LUCRO – (LUCRO PRESUMIDO)</t>
  </si>
  <si>
    <t>Custos Indiretos, Tributos e Lucro</t>
  </si>
  <si>
    <t>Custos Indiretos</t>
  </si>
  <si>
    <t>Lucro</t>
  </si>
  <si>
    <t>Tributos</t>
  </si>
  <si>
    <t>C.1) Tributos Federais (PIS = 0,65% e COFINS = 3%)</t>
  </si>
  <si>
    <t>C.2) Tributos Estaduais (especificar)</t>
  </si>
  <si>
    <t>C.3) Tributos Municipais (ISS = 5,0%)</t>
  </si>
  <si>
    <t>C.4) Outros tributos (especificar)</t>
  </si>
  <si>
    <t>Mão-de-obra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</si>
  <si>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</si>
  <si>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</si>
  <si>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</si>
  <si>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</si>
  <si>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</si>
  <si>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</si>
  <si>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>Módulo 6 – Custos Indiretos, Tributos e Lucro</t>
  </si>
  <si>
    <t>Valor total por empregado</t>
  </si>
  <si>
    <t>FATOR K</t>
  </si>
  <si>
    <t>MÓDULO 6: CUSTOS INDIRETOS, TRIBUTOS E LUCRO – (LUCRO REAL)</t>
  </si>
  <si>
    <t>C.1) Tributos Federais (PIS = 1,65% e COFINS = 7,60%)</t>
  </si>
  <si>
    <t>DISCRIMINAÇÃO DO POSTO</t>
  </si>
  <si>
    <t>FUNCIONÁRIOS</t>
  </si>
  <si>
    <t>TOTAL MENSAL</t>
  </si>
  <si>
    <t>TOTAL ANUAL</t>
  </si>
  <si>
    <t>POSTOS</t>
  </si>
  <si>
    <t>VALOR MENSAL POR POSTO</t>
  </si>
  <si>
    <t>dos Equipamentos (preenchimento licitante)</t>
  </si>
  <si>
    <t>Regime tributário da Licitante</t>
  </si>
  <si>
    <r>
      <t xml:space="preserve">Documento Comprobatório </t>
    </r>
    <r>
      <rPr>
        <b/>
        <i/>
        <sz val="11"/>
        <rFont val="Calibri"/>
        <family val="2"/>
        <scheme val="minor"/>
      </rPr>
      <t>*Anexar Comprovante</t>
    </r>
  </si>
  <si>
    <r>
      <rPr>
        <b/>
        <sz val="11"/>
        <color theme="1"/>
        <rFont val="Calibri"/>
        <family val="2"/>
        <scheme val="minor"/>
      </rPr>
      <t>ACT/CCT/DCT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inclusive aditivos se houver</t>
    </r>
  </si>
  <si>
    <t>Entidade Sindical da Empresa</t>
  </si>
  <si>
    <t>Entidade Sindical dos Empregados</t>
  </si>
  <si>
    <t>Número de Registro</t>
  </si>
  <si>
    <t>Início Vigência</t>
  </si>
  <si>
    <t>Fim Vigência</t>
  </si>
  <si>
    <t>Descrição Cargos</t>
  </si>
  <si>
    <t>Dias/Mês</t>
  </si>
  <si>
    <t>Posto</t>
  </si>
  <si>
    <t>CBO</t>
  </si>
  <si>
    <t>Salário</t>
  </si>
  <si>
    <t>Adicional de Insalubridade (20% ou 40%)</t>
  </si>
  <si>
    <t>Gratificação Liderança (15% ou 30%)</t>
  </si>
  <si>
    <t>Submódulo 4.1. Ausências legais</t>
  </si>
  <si>
    <t>Uniformes E EPIS</t>
  </si>
  <si>
    <t>Quadro-resumo do Custo por Empregado (LUCRO PRESUMIDO)</t>
  </si>
  <si>
    <t>LUCRO PRESUMIDO</t>
  </si>
  <si>
    <t>Quadro-resumo do Custo por Empregado (LUCRO REAL)</t>
  </si>
  <si>
    <t>LUCRO REAL</t>
  </si>
  <si>
    <t>Operador de Caixa</t>
  </si>
  <si>
    <t>Anexo IV-A  - FORMAÇÃO CUSTOS POSTOS DO GRUPO 1</t>
  </si>
  <si>
    <t>Anexo IV-B  - FORMAÇÃO CUSTOS POSTOS DO GRUPO 2</t>
  </si>
  <si>
    <t>Anexo IV -C  - FORMAÇÃO CUSTOS POSTOS DO GRUPO 3</t>
  </si>
  <si>
    <t>4211-25</t>
  </si>
  <si>
    <t>Caixa</t>
  </si>
  <si>
    <t>und</t>
  </si>
  <si>
    <t>Disponibilização de Equipamentos para os todos os postos</t>
  </si>
  <si>
    <t>Descrição/Especificação</t>
  </si>
  <si>
    <t>Quantidade de Pessoal</t>
  </si>
  <si>
    <t>Média dos salários (Proad)</t>
  </si>
  <si>
    <t>Anexo II - A - ANÁLISE DE SALÁRIOS</t>
  </si>
  <si>
    <t>Adicional de Quebra de Caixa Parágrado 10º CCT</t>
  </si>
  <si>
    <t>Anexo II - B - DISTRIBUIÇÃO DOS POSTOS</t>
  </si>
  <si>
    <t>Contratação de empresa para prestação de serviços continuados de apoio à Cozinha industrial, com regime de dedicação exclusiva de mão de obra, com fornecimento de materiais de reposição e atendimento na Universidade Federal Fluminense</t>
  </si>
  <si>
    <t>Encarregado de Manutenção</t>
  </si>
  <si>
    <t>Técnico de Manutenção Elétrica</t>
  </si>
  <si>
    <t>Auxiliar de Manutenção Predial</t>
  </si>
  <si>
    <t>Almoxarife</t>
  </si>
  <si>
    <t>Auxiliar de Almoxarife</t>
  </si>
  <si>
    <t>Gerente de Restaurante</t>
  </si>
  <si>
    <t>Magarefe</t>
  </si>
  <si>
    <t>Auxiliar de Magarefe</t>
  </si>
  <si>
    <t>Cozinheiro Industrial</t>
  </si>
  <si>
    <t>Auxiliar de Cozinha</t>
  </si>
  <si>
    <t>Auxiliar de Serviços Gerais</t>
  </si>
  <si>
    <t>Técnico de Refrigeração</t>
  </si>
  <si>
    <t>Encarregado de Manutenç ão</t>
  </si>
  <si>
    <t>Encarregado</t>
  </si>
  <si>
    <t>Man. Elétrica</t>
  </si>
  <si>
    <t>Refrigeração</t>
  </si>
  <si>
    <t>Man. Predial</t>
  </si>
  <si>
    <t>Aux. Almoxarife</t>
  </si>
  <si>
    <t>Gerente</t>
  </si>
  <si>
    <t>Aux. Magarefe</t>
  </si>
  <si>
    <t>Cozinheiro</t>
  </si>
  <si>
    <t>Aux. Cozinha</t>
  </si>
  <si>
    <t>ASG</t>
  </si>
  <si>
    <t>5143-20</t>
  </si>
  <si>
    <t>5132-05</t>
  </si>
  <si>
    <t>5132-15</t>
  </si>
  <si>
    <t>8485-25</t>
  </si>
  <si>
    <t>8485-10</t>
  </si>
  <si>
    <t>1415-10</t>
  </si>
  <si>
    <t>4141-05</t>
  </si>
  <si>
    <t>3131-15</t>
  </si>
  <si>
    <t>3131-20</t>
  </si>
  <si>
    <t>5143-10</t>
  </si>
  <si>
    <t>3141-15</t>
  </si>
  <si>
    <t>CAMPUS</t>
  </si>
  <si>
    <t>ENDEREÇO</t>
  </si>
  <si>
    <t>Cozinha Industrial e Refeitórios I e II do Restaurante Universitário do Gragoatá</t>
  </si>
  <si>
    <t>Rua Professor Marcos Waldemar de Freitas Reis, s/nº, Campus de Gragoatá, São Domingos, Niterói. CEP: 24.210-200</t>
  </si>
  <si>
    <t>Refeitório da Reitoria</t>
  </si>
  <si>
    <t>Rua Miguel de Frias nº 9 – Icaraí , Niterói, CEP: 24.220-400</t>
  </si>
  <si>
    <t>Refeitório da Faculdade de Veterinária</t>
  </si>
  <si>
    <t>Rua Vital Brasil nº 64, Santa Rosa, Niterói. CEP: 24.320-240</t>
  </si>
  <si>
    <t>Refeitório da Praia Vermelha</t>
  </si>
  <si>
    <t>Rua Passos da Pátria nº 156, São Domingos, Niterói. CEP: 24.210-240</t>
  </si>
  <si>
    <t>Refeitório do Hospital Universitário Antônio Pedro</t>
  </si>
  <si>
    <t>Rua Marquês de Paraná nº 303, centro, Niterói, CEP: 24.330-900</t>
  </si>
  <si>
    <t>Cozinha Industrial e Refeitórios do Coluni e Creche</t>
  </si>
  <si>
    <r>
      <t>Contratação</t>
    </r>
    <r>
      <rPr>
        <b/>
        <sz val="10"/>
        <color rgb="FF000000"/>
        <rFont val="Calibri"/>
        <family val="2"/>
      </rPr>
      <t xml:space="preserve"> da UAN do RU/PROAES/UFF.</t>
    </r>
  </si>
  <si>
    <t>Encarregado de manutenção</t>
  </si>
  <si>
    <t xml:space="preserve">Auxiliar de Manutenção Predial </t>
  </si>
  <si>
    <t xml:space="preserve">Gerente de restaurante </t>
  </si>
  <si>
    <r>
      <t>C</t>
    </r>
    <r>
      <rPr>
        <b/>
        <sz val="10"/>
        <color rgb="FF000000"/>
        <rFont val="Calibri"/>
        <family val="2"/>
      </rPr>
      <t xml:space="preserve">ontratação </t>
    </r>
    <r>
      <rPr>
        <b/>
        <sz val="11"/>
        <color rgb="FF000000"/>
        <rFont val="Georgia"/>
        <family val="1"/>
      </rPr>
      <t xml:space="preserve">da </t>
    </r>
    <r>
      <rPr>
        <b/>
        <sz val="10"/>
        <color rgb="FF000000"/>
        <rFont val="Calibri"/>
        <family val="2"/>
      </rPr>
      <t>UAN da Unidade Sede e da Subunidade Educação Infantil/PROGRAD/UFF.</t>
    </r>
  </si>
  <si>
    <t>Calça Unissex, Material: Jeans, Modelo: Tradicional, Tipo Bolso: Lateral E Traseiro, Tamanho: Sob Medida, Cor: Azul, Características Adicionais: Pré-Lavado</t>
  </si>
  <si>
    <t>CALCADO DE SEGURANCA - MODELO: SAPATO, FECHADO NO DORSO E NO CALCANHAR; TAMANHO: SOB MEDIDA; CABEDAL: EVA; BIQUEIRA: SEM BIQUEIRA; SOLA: BORRACHA SINTETICA ANTIDERRAPANTE; CADARCO: SEM CADARCO; COR: BRANCA; ENTRESSOLA: SINTETICA; FORRO: SINTETICO; ALMA: SINTETICA; PALMILHA: EVA, FORRADA EM TECIDO, LAVAVEL, ANTIBACTERIANA; GRAVACAO: COM GRAVACAO; CERTIFICADO APROVACAO- CA: SIM;</t>
  </si>
  <si>
    <t>Meia Vestuário,, Material: Algodão, Poliamida E Elastano, Tipo: Social, Cor: Variada, Tamanho: Sob Medida</t>
  </si>
  <si>
    <t>Touca Material: Tnt , Aplicação: Cozinha Industrial , Cor: Branca , Tipo: Descartável , Características Adicionais: Tamanho Único Com Elástico.</t>
  </si>
  <si>
    <t>Pcte 100 unid</t>
  </si>
  <si>
    <t>COMPOSIÇÃO DE CUSTO DE UNIFORME PARA O CARGO DE ALMOXARIFE E AUXILIAR DE ALMOXARIFE</t>
  </si>
  <si>
    <t>Calça de brim com cordão e elástico na cor azul</t>
  </si>
  <si>
    <t>COMPOSIÇÃO DE CUSTO DE UNIFORME PARA O CARGO DE GERENTE DO RESTAURANTE</t>
  </si>
  <si>
    <t>COMPOSIÇÃO DE CUSTO DE UNIFORME PARA O CARGO DE MAGAREFE E AUXILIAR DE MAGAREFE</t>
  </si>
  <si>
    <t>COMPOSIÇÃO DE CUSTO DE UNIFORME PARA O CARGO DE COZINHEIRO E AUXILIAR DE COZINHEIRO</t>
  </si>
  <si>
    <t>Calça de brim com cordão e elástico na cor branca</t>
  </si>
  <si>
    <t>Óculos de Proteção</t>
  </si>
  <si>
    <t>COMPOSIÇÃO DE CUSTO DE UNIFORME PARA O CARGO DE AUXILIAR DE SERVIÇOS GERAIS</t>
  </si>
  <si>
    <t>Luvas de Borracha reforçada</t>
  </si>
  <si>
    <t>Calça de brim com cordão e elástico na cor cinza</t>
  </si>
  <si>
    <t>COMPOSIÇÃO DE CUSTO DE UNIFORME PARA O CARGO DE AUXILIAR DE MANUTENÇÃO</t>
  </si>
  <si>
    <t>Técnico em Refrigeração</t>
  </si>
  <si>
    <t>Ticket Alimentação - Cláusula 17ª da CCT</t>
  </si>
  <si>
    <t>Benefício e Cidadania - Cláusula 20º da CCT</t>
  </si>
  <si>
    <t>Benefício Assistencial - Cláusula 42ª da CCT</t>
  </si>
  <si>
    <t>Transporte - considerando 4 passagens/dia</t>
  </si>
  <si>
    <t>Vale Compras Mensal Cláusula 16ª da CCT</t>
  </si>
  <si>
    <t>Gratificação Natalina - Cláusula 15ª da CCT (parcela mensal)</t>
  </si>
  <si>
    <t>Camisa de algodão na cor azul, sem abotoamento frontal, sem bolso e com logomarca da empresa</t>
  </si>
  <si>
    <t>Botas impermeáveis e antiderrapantes, de cano curto, na cor preta</t>
  </si>
  <si>
    <t>Cinta abdominal ergonômica com suspensório de segurança em material reforçado tipo: modelo Vicsa ® safety</t>
  </si>
  <si>
    <t>Avental impermeável com amarras na cintura e no pescoço</t>
  </si>
  <si>
    <t>Japona forrada e reforçada com capuz para proteção a baixas temperaturas</t>
  </si>
  <si>
    <t>Luvas reforçadas para baixas temperaturas</t>
  </si>
  <si>
    <t>Luvas descartáveis de procedimentos (sem amido; altamente resistente ao rasgo; nos tamanhos P, M G e Extra G, sendo o tamanho compatível com as mãos do colaborador)</t>
  </si>
  <si>
    <t>Blusa pólo na cor branca, sem abotoamento frontal, sem bolso e com logomarca da
empresa;</t>
  </si>
  <si>
    <t>Botas impermeáveis e antiderrapantes, na cor branca - exceto para gerente do setor do estoque</t>
  </si>
  <si>
    <t>Protetor auricular</t>
  </si>
  <si>
    <t>Avental impermeável, tamanho 120cm x 70cm ou compatível com a estatura do colaborador, com amarras na cintura e alças graduadas na altura do pescoço, exceto para o encarregado do estoque</t>
  </si>
  <si>
    <t>Camisa de algodão na cor branca, sem abotoamento frontal, sem bolso e com logomarca da empresa</t>
  </si>
  <si>
    <t>Botas impermeáveis e antiderrapantes, na cor branca</t>
  </si>
  <si>
    <t>Avental impermeável, tamanho 120cm x 70cm ou compatível com a estatura do colaborador, com amarras na cintura e com alças graduadas na altura do pescoço</t>
  </si>
  <si>
    <t>Cinta abdominal ergon ômica com suspensório de segurança em material reforçado – tipo: modelo Vicsa ® safety;</t>
  </si>
  <si>
    <t>Luvas descartáveis de procedimentos (sem amido; altamente resistente ao rasgo; nos tamanhos P, M G e Extra G, sendo o tamanho compatível com as mãos do colaborador).</t>
  </si>
  <si>
    <t xml:space="preserve">Luvas de malha de aço </t>
  </si>
  <si>
    <t>Sapatos fechados, na cor branca, antiderrapantes, impermeáveis, em material apropriado para trabalhar em cozinha industrial, para as auxiliares de cozinha do sexo femenino</t>
  </si>
  <si>
    <t>Japonas forradas e reforçadas com capuz para proteção a baixas temperaturas, para ser utilizada pela equipe de auxiliares de cozinha, com reposição anual ou sempre que houver desgaste pelo tempo de uso e/ou perfurações causadas acidentalmente</t>
  </si>
  <si>
    <t>Luvas descartáveis de procedimentos (sem amido; altamente resistente ao rasgo; nos tamanhos P, M, G e Extra G, sendo o tamanho compatível com as mãos do colaborador</t>
  </si>
  <si>
    <t>Cinta abdominal ergon ômica com suspensório de segurança em material reforçado –tipo: modelo Vicsa ® safety;</t>
  </si>
  <si>
    <t>Máscara descartável</t>
  </si>
  <si>
    <t>Calça de jeans azul escuro</t>
  </si>
  <si>
    <t>Camisa de algodão na cor cinza escuro, sem abotoamento frontal, sem bolso e com logomarca da empresa</t>
  </si>
  <si>
    <t>Botas com as seguintes características: solados emborrachados antiderrapantes, com capacidade de proteção para os pés, contra riscos de natureza leve, agentes abrasivos e escoriantes, contra choques elétricos C.A. 13808 (conforme A BNT NBR ISO 20347 DE 05/2015 - Calçado ocupacional) ;</t>
  </si>
  <si>
    <t>Luva emborrachada para proteção e manuseio em eletricidade de no mínimo 500 kVA, CA: 2178</t>
  </si>
  <si>
    <t>Luva tipo vaqueta para proteção da luva de borracha, (vaqueta C.A. 30.370);</t>
  </si>
  <si>
    <t>Luva pigmentada CA 46933 (luva de segurança tricotada com fios de algodão e poliéster, antiderrapante na face palmar e dedos, sem costuras internas, punho tricotado com algodão e elastano);</t>
  </si>
  <si>
    <t>Óculos de proteção, CA 11268</t>
  </si>
  <si>
    <t>Protetor facial, CA 11442</t>
  </si>
  <si>
    <t>Abafador de ruído tipo concha CA 7166</t>
  </si>
  <si>
    <t>Cinto de segurança para trabalho em altura CA 35509</t>
  </si>
  <si>
    <t>Botas com as seguintes características: solados emborrachados antiderrapantes, com capacidade de proteção para os pés, contra riscos de natureza leve, agentes abrasivos e escoriantes, contra choques elétricos C.A. 13808 (conforme ABNT NBR ISO 20347 DE 05/2015 - Calçado ocupacional);</t>
  </si>
  <si>
    <t>Luva pigmentada CA 46933 (luva de segurança tricotada com fios de algodão e poliéster, antiderrapante na face palmar e dedos, sem costuras internas, punho tricotado com algodão e elastano)</t>
  </si>
  <si>
    <t>Luva de raspa, CA 26749</t>
  </si>
  <si>
    <t>COMPOSIÇÃO DE CUSTO DE UNIFORME PARA O CARGO DE TÉCNICO EM REFRIGERAÇÃO</t>
  </si>
  <si>
    <t>Camisa de algodão na cor cinza claro, sem abotoamento frontal, sem bolso e com logomarca da empresa</t>
  </si>
  <si>
    <t>Luva de proteção para gases, CA: 32033</t>
  </si>
  <si>
    <t>Máscara com filtro para proteção de gases, C.A 4115</t>
  </si>
  <si>
    <t>Uniforme para baixa temperatura  japona CA 10.975).</t>
  </si>
  <si>
    <t>Uniforme para baixa temperatura bota CA 37646</t>
  </si>
  <si>
    <t>COMPOSIÇÃO DE CUSTO DE UNIFORME PARA O CARGO DE TÉCNICO EM MANUTENÇÃO ELÉTRICA</t>
  </si>
  <si>
    <t>Blusa pólo na cor branca, sem abotoamento frontal, sem bolso e com logomarca da empresa</t>
  </si>
  <si>
    <t>Luvas em látex natural para lavagem e higienização de pratos e panelas (confeccionada em látex natural, com alta aderência para manuseio de objetos com umidade; punho longo com fechamento que se prende ao antebraço para evitar entrada de líquidos no interior da luva; apropriada para serviços que exijam imersão até o antebraço; palma e dedos antiderrapantes que evitam o deslize de objetos secos ou molhados. Tamanho adequado às mãos do colaborador).</t>
  </si>
  <si>
    <t>Custo por posto  = Soma da depreciação por 151 postos</t>
  </si>
  <si>
    <t>Cx 100 unid</t>
  </si>
  <si>
    <t>cx com 100 unid.</t>
  </si>
  <si>
    <t>cx com 100 unid</t>
  </si>
  <si>
    <t>unid.</t>
  </si>
  <si>
    <t>caixa com 100 unid.</t>
  </si>
  <si>
    <t>Cinta abdominal ergonômica com suspensório de segurança em material reforçado –tipo: modelo Vicsa ® safety;</t>
  </si>
  <si>
    <t>unid</t>
  </si>
  <si>
    <t>Referência Salário</t>
  </si>
  <si>
    <t>CCT RJ002946/2022</t>
  </si>
  <si>
    <t>CCT RJ002946/2022 Faixa Similar de cargo</t>
  </si>
  <si>
    <t>Sapato antiderrapante e impermeável, na cor branco, para gerente do setor de estoque</t>
  </si>
  <si>
    <t>Avental impermeável, tamanho 120cm x 90cm ou compatível com a estatura do colaborador, com amarras na cintura e alças graduadas na altura do pescoço;</t>
  </si>
  <si>
    <t>Avental impermeável, tam. 120cm x 90cm ou compatível com a estatura do colaborador, com amarras na cintura e alças graduadas na altura do pescoço</t>
  </si>
  <si>
    <t>COMPOSIÇÃO DE CUSTO DE UNIFORME PARA O CARGO DE ENCARREGADO DE MANUTENÇÃO</t>
  </si>
  <si>
    <t>Capacete de proteção com jugular e Carneira CA 35983;</t>
  </si>
  <si>
    <t>QUANT. DE FUNCIONÁRIOS QUE IRÃO RECEBER</t>
  </si>
  <si>
    <t>(A) QUANT. ANUAL POR FUNCIONÁRIO</t>
  </si>
  <si>
    <t>(B) QUANT. DE FUNCIONÁRIOS QUE IRÃO RECEBER</t>
  </si>
  <si>
    <t>(C) VALOR UNITÁRIO</t>
  </si>
  <si>
    <t>(D)= (A)x(B)x(C)  VALOR TOTAL</t>
  </si>
  <si>
    <t>COMPOSIÇÃO DE CUSTO DE UNIFORME PARA O CARGO DE AUXILIAR DE PESSOAL E OPERADOR DE CAIXA</t>
  </si>
  <si>
    <t>Auxiliar de Pessoal</t>
  </si>
  <si>
    <t>Valor anual total</t>
  </si>
  <si>
    <t>Valor mensal por funcionário = Total / Valor total de postos/12</t>
  </si>
  <si>
    <t xml:space="preserve">Luva térmica e anticorte para proteção de altas temperaturas em cozinha industrial (confeccionada com reforço em couro na palma e polegar, forro interno com fibras naturais e espuma na palma e dorso) com molde para os dedos (confeccionada com reforço em couro na palma e polegar, forro interno com fibras naturais e espuma na palma e dorso) – marca de referência: luva Weld Premium, Volk do Brasil. Será utilizada por todos os cozinheiros e, em sendo auxiliares de cozinha, por aqueles que atuarem como auxiliares de cozinheiro </t>
  </si>
  <si>
    <t>Avental térmico comprido com amarras na cintura e pescoço tamanho 120 x 90</t>
  </si>
  <si>
    <t>FILTRO PARA MASCARA DE PROTEÇÃO DE GASES</t>
  </si>
  <si>
    <t>Obrigatório Preenchimento</t>
  </si>
  <si>
    <t>ITEM 1 - Custo total da contratação</t>
  </si>
  <si>
    <t>ANEXO IV Relação dos Custos Totais</t>
  </si>
  <si>
    <t>4110-30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</si>
</sst>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-&quot;R$ &quot;* #,##0.00_-;&quot;-R$ &quot;* #,##0.00_-;_-&quot;R$ &quot;* \-??_-;_-@_-"/>
    <numFmt numFmtId="167" formatCode="d/m/yyyy"/>
    <numFmt numFmtId="168" formatCode="#,##0.00_);\(#,##0.00\)"/>
    <numFmt numFmtId="169" formatCode="_-[$R$-416]\ * #,##0.00_-;\-[$R$-416]\ * #,##0.00_-;_-[$R$-416]\ * &quot;-&quot;??_-;_-@_-"/>
  </numFmts>
  <fonts count="4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indexed="10"/>
      <name val="Arial"/>
      <family val="2"/>
      <charset val="1"/>
    </font>
    <font>
      <sz val="9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Georgia"/>
      <family val="1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</font>
    <font>
      <sz val="10"/>
      <color rgb="FF000000"/>
      <name val="Calibri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F497D"/>
        <bgColor rgb="FF1F497D"/>
      </patternFill>
    </fill>
    <fill>
      <patternFill patternType="solid">
        <fgColor rgb="FFC0C0C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44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8" fillId="0" borderId="0"/>
    <xf numFmtId="44" fontId="6" fillId="0" borderId="0" applyFont="0" applyFill="0" applyBorder="0" applyAlignment="0" applyProtection="0"/>
    <xf numFmtId="0" fontId="31" fillId="0" borderId="0"/>
  </cellStyleXfs>
  <cellXfs count="34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distributed" wrapText="1" shrinkToFit="1" readingOrder="1"/>
    </xf>
    <xf numFmtId="0" fontId="7" fillId="0" borderId="0" xfId="0" applyFont="1" applyAlignment="1">
      <alignment vertical="center" wrapText="1"/>
    </xf>
    <xf numFmtId="164" fontId="9" fillId="0" borderId="7" xfId="4" applyNumberFormat="1" applyFont="1" applyBorder="1"/>
    <xf numFmtId="164" fontId="9" fillId="0" borderId="9" xfId="5" applyNumberFormat="1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 wrapText="1"/>
    </xf>
    <xf numFmtId="164" fontId="9" fillId="0" borderId="18" xfId="3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0" fillId="0" borderId="0" xfId="0" applyFont="1" applyAlignment="1">
      <alignment vertical="center" wrapText="1"/>
    </xf>
    <xf numFmtId="0" fontId="19" fillId="0" borderId="0" xfId="0" applyFont="1"/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10" fillId="4" borderId="7" xfId="0" applyNumberFormat="1" applyFont="1" applyFill="1" applyBorder="1" applyAlignment="1">
      <alignment horizontal="center" vertical="center"/>
    </xf>
    <xf numFmtId="0" fontId="10" fillId="9" borderId="17" xfId="0" applyFont="1" applyFill="1" applyBorder="1" applyAlignment="1" applyProtection="1">
      <alignment vertical="center"/>
      <protection locked="0"/>
    </xf>
    <xf numFmtId="0" fontId="10" fillId="9" borderId="17" xfId="0" applyFont="1" applyFill="1" applyBorder="1" applyAlignment="1" applyProtection="1">
      <alignment vertical="center" wrapText="1"/>
      <protection locked="0"/>
    </xf>
    <xf numFmtId="0" fontId="10" fillId="4" borderId="6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24" fillId="4" borderId="6" xfId="0" applyFont="1" applyFill="1" applyBorder="1" applyAlignment="1">
      <alignment horizontal="center" vertical="center"/>
    </xf>
    <xf numFmtId="164" fontId="25" fillId="0" borderId="1" xfId="6" applyNumberFormat="1" applyFont="1" applyFill="1" applyBorder="1" applyAlignment="1" applyProtection="1">
      <alignment vertical="center"/>
    </xf>
    <xf numFmtId="164" fontId="0" fillId="0" borderId="1" xfId="0" applyNumberFormat="1" applyBorder="1"/>
    <xf numFmtId="164" fontId="0" fillId="0" borderId="7" xfId="0" applyNumberFormat="1" applyBorder="1"/>
    <xf numFmtId="44" fontId="25" fillId="0" borderId="1" xfId="6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0" borderId="7" xfId="0" applyBorder="1"/>
    <xf numFmtId="164" fontId="0" fillId="4" borderId="1" xfId="0" applyNumberFormat="1" applyFill="1" applyBorder="1" applyAlignment="1">
      <alignment vertical="center"/>
    </xf>
    <xf numFmtId="44" fontId="25" fillId="3" borderId="1" xfId="6" applyFont="1" applyFill="1" applyBorder="1" applyAlignment="1" applyProtection="1">
      <alignment vertical="center"/>
      <protection locked="0"/>
    </xf>
    <xf numFmtId="0" fontId="24" fillId="4" borderId="8" xfId="0" applyFont="1" applyFill="1" applyBorder="1" applyAlignment="1">
      <alignment vertical="center"/>
    </xf>
    <xf numFmtId="44" fontId="10" fillId="0" borderId="18" xfId="6" applyFont="1" applyFill="1" applyBorder="1" applyAlignment="1" applyProtection="1">
      <alignment vertical="center"/>
    </xf>
    <xf numFmtId="44" fontId="10" fillId="0" borderId="9" xfId="6" applyFont="1" applyFill="1" applyBorder="1" applyAlignment="1" applyProtection="1">
      <alignment vertical="center"/>
    </xf>
    <xf numFmtId="0" fontId="10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44" fontId="25" fillId="4" borderId="1" xfId="6" applyFont="1" applyFill="1" applyBorder="1" applyAlignment="1" applyProtection="1">
      <alignment vertical="center"/>
    </xf>
    <xf numFmtId="44" fontId="10" fillId="4" borderId="1" xfId="6" applyFont="1" applyFill="1" applyBorder="1" applyAlignment="1" applyProtection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2" fontId="24" fillId="4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justify" vertical="center" wrapText="1"/>
    </xf>
    <xf numFmtId="2" fontId="26" fillId="4" borderId="1" xfId="0" applyNumberFormat="1" applyFont="1" applyFill="1" applyBorder="1" applyAlignment="1">
      <alignment horizontal="center" vertical="center"/>
    </xf>
    <xf numFmtId="44" fontId="26" fillId="4" borderId="1" xfId="6" applyFont="1" applyFill="1" applyBorder="1" applyAlignment="1" applyProtection="1">
      <alignment vertical="center"/>
    </xf>
    <xf numFmtId="0" fontId="24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44" fontId="24" fillId="0" borderId="1" xfId="6" applyFont="1" applyFill="1" applyBorder="1" applyAlignment="1" applyProtection="1">
      <alignment vertical="center"/>
      <protection locked="0"/>
    </xf>
    <xf numFmtId="8" fontId="24" fillId="0" borderId="1" xfId="6" applyNumberFormat="1" applyFont="1" applyFill="1" applyBorder="1" applyAlignment="1" applyProtection="1">
      <alignment vertical="center"/>
      <protection locked="0"/>
    </xf>
    <xf numFmtId="44" fontId="25" fillId="0" borderId="1" xfId="6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168" fontId="10" fillId="0" borderId="0" xfId="0" applyNumberFormat="1" applyFont="1" applyAlignment="1">
      <alignment horizontal="center" vertical="center"/>
    </xf>
    <xf numFmtId="168" fontId="10" fillId="0" borderId="1" xfId="0" applyNumberFormat="1" applyFont="1" applyBorder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4" fontId="25" fillId="0" borderId="1" xfId="6" applyNumberFormat="1" applyFont="1" applyFill="1" applyBorder="1" applyAlignment="1" applyProtection="1">
      <alignment vertical="center"/>
    </xf>
    <xf numFmtId="4" fontId="25" fillId="4" borderId="1" xfId="6" applyNumberFormat="1" applyFont="1" applyFill="1" applyBorder="1" applyAlignment="1" applyProtection="1">
      <alignment vertical="center"/>
    </xf>
    <xf numFmtId="2" fontId="24" fillId="4" borderId="1" xfId="7" applyNumberFormat="1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24" fillId="4" borderId="13" xfId="0" applyFont="1" applyFill="1" applyBorder="1" applyAlignment="1">
      <alignment horizontal="center" vertical="center"/>
    </xf>
    <xf numFmtId="2" fontId="10" fillId="4" borderId="12" xfId="0" applyNumberFormat="1" applyFont="1" applyFill="1" applyBorder="1" applyAlignment="1">
      <alignment vertical="center"/>
    </xf>
    <xf numFmtId="0" fontId="24" fillId="4" borderId="15" xfId="0" applyFont="1" applyFill="1" applyBorder="1" applyAlignment="1">
      <alignment horizontal="center" vertical="center"/>
    </xf>
    <xf numFmtId="2" fontId="10" fillId="4" borderId="16" xfId="0" applyNumberFormat="1" applyFont="1" applyFill="1" applyBorder="1" applyAlignment="1">
      <alignment vertical="center"/>
    </xf>
    <xf numFmtId="164" fontId="0" fillId="0" borderId="0" xfId="0" applyNumberFormat="1"/>
    <xf numFmtId="0" fontId="24" fillId="0" borderId="1" xfId="0" applyFont="1" applyBorder="1" applyAlignment="1">
      <alignment horizontal="center" vertical="center"/>
    </xf>
    <xf numFmtId="164" fontId="25" fillId="0" borderId="1" xfId="6" applyNumberFormat="1" applyFont="1" applyFill="1" applyBorder="1" applyAlignment="1" applyProtection="1">
      <alignment vertical="center"/>
      <protection locked="0"/>
    </xf>
    <xf numFmtId="44" fontId="29" fillId="0" borderId="0" xfId="0" applyNumberFormat="1" applyFont="1"/>
    <xf numFmtId="44" fontId="25" fillId="6" borderId="1" xfId="6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justify" vertical="center" wrapText="1"/>
    </xf>
    <xf numFmtId="2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wrapText="1"/>
    </xf>
    <xf numFmtId="0" fontId="10" fillId="4" borderId="1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left" vertical="center"/>
    </xf>
    <xf numFmtId="0" fontId="24" fillId="4" borderId="8" xfId="0" applyFont="1" applyFill="1" applyBorder="1" applyAlignment="1">
      <alignment horizontal="left" vertical="center"/>
    </xf>
    <xf numFmtId="44" fontId="10" fillId="4" borderId="18" xfId="6" applyFont="1" applyFill="1" applyBorder="1" applyAlignment="1" applyProtection="1">
      <alignment vertical="center"/>
    </xf>
    <xf numFmtId="0" fontId="10" fillId="4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164" fontId="10" fillId="0" borderId="18" xfId="6" applyNumberFormat="1" applyFont="1" applyFill="1" applyBorder="1" applyAlignment="1" applyProtection="1">
      <alignment vertical="center"/>
      <protection locked="0"/>
    </xf>
    <xf numFmtId="0" fontId="24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justify" vertical="center" wrapText="1"/>
    </xf>
    <xf numFmtId="0" fontId="24" fillId="4" borderId="6" xfId="0" applyFont="1" applyFill="1" applyBorder="1" applyAlignment="1">
      <alignment vertical="center"/>
    </xf>
    <xf numFmtId="2" fontId="10" fillId="4" borderId="18" xfId="0" applyNumberFormat="1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0" borderId="18" xfId="0" applyFont="1" applyBorder="1" applyAlignment="1">
      <alignment vertical="center" wrapText="1"/>
    </xf>
    <xf numFmtId="44" fontId="25" fillId="4" borderId="18" xfId="6" applyFont="1" applyFill="1" applyBorder="1" applyAlignment="1" applyProtection="1">
      <alignment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23" fillId="2" borderId="4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4" fontId="30" fillId="0" borderId="9" xfId="0" applyNumberFormat="1" applyFont="1" applyBorder="1" applyAlignment="1">
      <alignment horizontal="center"/>
    </xf>
    <xf numFmtId="0" fontId="10" fillId="2" borderId="28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center" wrapText="1"/>
    </xf>
    <xf numFmtId="164" fontId="24" fillId="0" borderId="28" xfId="0" applyNumberFormat="1" applyFont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164" fontId="6" fillId="4" borderId="28" xfId="0" applyNumberFormat="1" applyFont="1" applyFill="1" applyBorder="1" applyAlignment="1">
      <alignment horizontal="center" vertical="center"/>
    </xf>
    <xf numFmtId="164" fontId="10" fillId="2" borderId="28" xfId="0" applyNumberFormat="1" applyFont="1" applyFill="1" applyBorder="1" applyAlignment="1">
      <alignment horizontal="center" vertical="center" wrapText="1"/>
    </xf>
    <xf numFmtId="0" fontId="32" fillId="10" borderId="28" xfId="9" applyFont="1" applyFill="1" applyBorder="1" applyAlignment="1">
      <alignment vertical="center" wrapText="1"/>
    </xf>
    <xf numFmtId="0" fontId="33" fillId="0" borderId="28" xfId="0" applyFont="1" applyBorder="1" applyAlignment="1">
      <alignment wrapText="1"/>
    </xf>
    <xf numFmtId="0" fontId="33" fillId="0" borderId="28" xfId="0" applyFont="1" applyBorder="1"/>
    <xf numFmtId="0" fontId="33" fillId="0" borderId="28" xfId="0" applyFont="1" applyBorder="1" applyAlignment="1">
      <alignment horizontal="justify" vertical="center" wrapText="1"/>
    </xf>
    <xf numFmtId="0" fontId="35" fillId="12" borderId="28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vertical="center" wrapText="1"/>
    </xf>
    <xf numFmtId="0" fontId="36" fillId="0" borderId="28" xfId="0" applyFont="1" applyBorder="1" applyAlignment="1">
      <alignment horizontal="center" vertical="center" wrapText="1"/>
    </xf>
    <xf numFmtId="0" fontId="35" fillId="12" borderId="28" xfId="0" applyFont="1" applyFill="1" applyBorder="1" applyAlignment="1">
      <alignment vertical="center" wrapText="1"/>
    </xf>
    <xf numFmtId="0" fontId="24" fillId="4" borderId="31" xfId="0" applyFont="1" applyFill="1" applyBorder="1" applyAlignment="1">
      <alignment horizontal="center" vertical="center"/>
    </xf>
    <xf numFmtId="44" fontId="24" fillId="0" borderId="32" xfId="6" applyFont="1" applyFill="1" applyBorder="1" applyAlignment="1" applyProtection="1">
      <alignment vertical="center"/>
      <protection locked="0"/>
    </xf>
    <xf numFmtId="164" fontId="24" fillId="4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" fillId="2" borderId="34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9" fontId="24" fillId="3" borderId="7" xfId="0" applyNumberFormat="1" applyFont="1" applyFill="1" applyBorder="1" applyAlignment="1">
      <alignment horizontal="center" vertical="center"/>
    </xf>
    <xf numFmtId="164" fontId="24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24" fillId="6" borderId="7" xfId="0" applyNumberFormat="1" applyFont="1" applyFill="1" applyBorder="1" applyAlignment="1">
      <alignment horizontal="center" vertical="center"/>
    </xf>
    <xf numFmtId="0" fontId="40" fillId="0" borderId="0" xfId="0" applyFont="1"/>
    <xf numFmtId="0" fontId="38" fillId="0" borderId="0" xfId="0" applyFont="1"/>
    <xf numFmtId="0" fontId="40" fillId="0" borderId="0" xfId="0" applyFont="1" applyAlignment="1">
      <alignment horizontal="center" vertical="center"/>
    </xf>
    <xf numFmtId="0" fontId="40" fillId="16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0" fillId="15" borderId="0" xfId="0" applyFont="1" applyFill="1" applyAlignment="1">
      <alignment vertical="center"/>
    </xf>
    <xf numFmtId="0" fontId="40" fillId="14" borderId="0" xfId="0" applyFont="1" applyFill="1" applyAlignment="1">
      <alignment vertical="center"/>
    </xf>
    <xf numFmtId="0" fontId="41" fillId="16" borderId="0" xfId="0" applyFont="1" applyFill="1" applyAlignment="1">
      <alignment vertical="center" wrapText="1"/>
    </xf>
    <xf numFmtId="0" fontId="41" fillId="3" borderId="0" xfId="0" applyFont="1" applyFill="1" applyAlignment="1">
      <alignment vertical="center" wrapText="1"/>
    </xf>
    <xf numFmtId="0" fontId="40" fillId="15" borderId="0" xfId="0" applyFont="1" applyFill="1" applyAlignment="1">
      <alignment vertical="center" wrapText="1"/>
    </xf>
    <xf numFmtId="0" fontId="40" fillId="3" borderId="0" xfId="0" applyFont="1" applyFill="1" applyAlignment="1">
      <alignment vertical="center"/>
    </xf>
    <xf numFmtId="0" fontId="38" fillId="1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wrapText="1"/>
    </xf>
    <xf numFmtId="0" fontId="4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38" fillId="13" borderId="1" xfId="0" applyFont="1" applyFill="1" applyBorder="1" applyAlignment="1">
      <alignment wrapText="1"/>
    </xf>
    <xf numFmtId="164" fontId="38" fillId="13" borderId="1" xfId="0" applyNumberFormat="1" applyFont="1" applyFill="1" applyBorder="1" applyAlignment="1">
      <alignment wrapText="1"/>
    </xf>
    <xf numFmtId="0" fontId="38" fillId="13" borderId="1" xfId="0" applyFont="1" applyFill="1" applyBorder="1"/>
    <xf numFmtId="164" fontId="38" fillId="13" borderId="1" xfId="0" applyNumberFormat="1" applyFont="1" applyFill="1" applyBorder="1"/>
    <xf numFmtId="0" fontId="42" fillId="0" borderId="1" xfId="0" applyFont="1" applyBorder="1" applyAlignment="1">
      <alignment wrapText="1"/>
    </xf>
    <xf numFmtId="0" fontId="10" fillId="9" borderId="5" xfId="0" applyFont="1" applyFill="1" applyBorder="1" applyAlignment="1" applyProtection="1">
      <alignment vertical="center" wrapText="1"/>
      <protection locked="0"/>
    </xf>
    <xf numFmtId="164" fontId="0" fillId="4" borderId="7" xfId="0" applyNumberFormat="1" applyFill="1" applyBorder="1" applyAlignment="1">
      <alignment horizontal="center" vertical="center"/>
    </xf>
    <xf numFmtId="168" fontId="10" fillId="0" borderId="7" xfId="0" applyNumberFormat="1" applyFont="1" applyBorder="1" applyAlignment="1">
      <alignment vertical="center"/>
    </xf>
    <xf numFmtId="44" fontId="25" fillId="0" borderId="7" xfId="6" applyFont="1" applyFill="1" applyBorder="1" applyAlignment="1" applyProtection="1">
      <alignment vertical="center"/>
    </xf>
    <xf numFmtId="164" fontId="25" fillId="0" borderId="7" xfId="6" applyNumberFormat="1" applyFont="1" applyFill="1" applyBorder="1" applyAlignment="1" applyProtection="1">
      <alignment vertical="center"/>
      <protection locked="0"/>
    </xf>
    <xf numFmtId="44" fontId="25" fillId="6" borderId="7" xfId="6" applyFont="1" applyFill="1" applyBorder="1" applyAlignment="1" applyProtection="1">
      <alignment vertical="center"/>
      <protection locked="0"/>
    </xf>
    <xf numFmtId="164" fontId="10" fillId="0" borderId="9" xfId="6" applyNumberFormat="1" applyFont="1" applyFill="1" applyBorder="1" applyAlignment="1" applyProtection="1">
      <alignment vertical="center"/>
      <protection locked="0"/>
    </xf>
    <xf numFmtId="0" fontId="10" fillId="0" borderId="7" xfId="0" applyFont="1" applyBorder="1" applyAlignment="1">
      <alignment vertical="center" wrapText="1"/>
    </xf>
    <xf numFmtId="44" fontId="25" fillId="4" borderId="7" xfId="6" applyFont="1" applyFill="1" applyBorder="1" applyAlignment="1" applyProtection="1">
      <alignment vertical="center"/>
    </xf>
    <xf numFmtId="44" fontId="10" fillId="4" borderId="9" xfId="6" applyFont="1" applyFill="1" applyBorder="1" applyAlignment="1" applyProtection="1">
      <alignment vertical="center"/>
    </xf>
    <xf numFmtId="44" fontId="10" fillId="4" borderId="7" xfId="6" applyFont="1" applyFill="1" applyBorder="1" applyAlignment="1" applyProtection="1">
      <alignment vertical="center"/>
    </xf>
    <xf numFmtId="2" fontId="10" fillId="4" borderId="9" xfId="0" applyNumberFormat="1" applyFont="1" applyFill="1" applyBorder="1" applyAlignment="1">
      <alignment horizontal="center" vertical="center"/>
    </xf>
    <xf numFmtId="4" fontId="25" fillId="4" borderId="7" xfId="6" applyNumberFormat="1" applyFont="1" applyFill="1" applyBorder="1" applyAlignment="1" applyProtection="1">
      <alignment vertical="center"/>
    </xf>
    <xf numFmtId="4" fontId="25" fillId="0" borderId="7" xfId="6" applyNumberFormat="1" applyFont="1" applyFill="1" applyBorder="1" applyAlignment="1" applyProtection="1">
      <alignment vertical="center"/>
    </xf>
    <xf numFmtId="2" fontId="24" fillId="4" borderId="7" xfId="7" applyNumberFormat="1" applyFont="1" applyFill="1" applyBorder="1" applyAlignment="1">
      <alignment vertical="center"/>
    </xf>
    <xf numFmtId="44" fontId="24" fillId="0" borderId="7" xfId="6" applyFont="1" applyFill="1" applyBorder="1" applyAlignment="1" applyProtection="1">
      <alignment vertical="center"/>
      <protection locked="0"/>
    </xf>
    <xf numFmtId="8" fontId="24" fillId="0" borderId="7" xfId="6" applyNumberFormat="1" applyFont="1" applyFill="1" applyBorder="1" applyAlignment="1" applyProtection="1">
      <alignment vertical="center"/>
      <protection locked="0"/>
    </xf>
    <xf numFmtId="44" fontId="24" fillId="0" borderId="38" xfId="6" applyFont="1" applyFill="1" applyBorder="1" applyAlignment="1" applyProtection="1">
      <alignment vertical="center"/>
      <protection locked="0"/>
    </xf>
    <xf numFmtId="44" fontId="26" fillId="4" borderId="7" xfId="6" applyFont="1" applyFill="1" applyBorder="1" applyAlignment="1" applyProtection="1">
      <alignment vertical="center"/>
    </xf>
    <xf numFmtId="44" fontId="25" fillId="4" borderId="9" xfId="6" applyFont="1" applyFill="1" applyBorder="1" applyAlignment="1" applyProtection="1">
      <alignment vertical="center"/>
    </xf>
    <xf numFmtId="0" fontId="10" fillId="4" borderId="42" xfId="0" applyFont="1" applyFill="1" applyBorder="1" applyAlignment="1">
      <alignment horizontal="center" vertical="center"/>
    </xf>
    <xf numFmtId="0" fontId="10" fillId="0" borderId="43" xfId="0" applyFont="1" applyBorder="1" applyAlignment="1">
      <alignment vertical="center" wrapText="1"/>
    </xf>
    <xf numFmtId="0" fontId="24" fillId="4" borderId="42" xfId="0" applyFont="1" applyFill="1" applyBorder="1" applyAlignment="1">
      <alignment horizontal="center" vertical="center"/>
    </xf>
    <xf numFmtId="2" fontId="10" fillId="4" borderId="43" xfId="0" applyNumberFormat="1" applyFont="1" applyFill="1" applyBorder="1" applyAlignment="1">
      <alignment vertical="center"/>
    </xf>
    <xf numFmtId="0" fontId="24" fillId="4" borderId="44" xfId="0" applyFont="1" applyFill="1" applyBorder="1" applyAlignment="1">
      <alignment horizontal="center" vertical="center"/>
    </xf>
    <xf numFmtId="2" fontId="10" fillId="4" borderId="47" xfId="0" applyNumberFormat="1" applyFont="1" applyFill="1" applyBorder="1" applyAlignment="1">
      <alignment vertical="center"/>
    </xf>
    <xf numFmtId="2" fontId="10" fillId="4" borderId="4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24" fillId="4" borderId="49" xfId="0" applyFont="1" applyFill="1" applyBorder="1" applyAlignment="1">
      <alignment horizontal="center" vertical="center"/>
    </xf>
    <xf numFmtId="0" fontId="40" fillId="15" borderId="1" xfId="0" applyFont="1" applyFill="1" applyBorder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 vertical="distributed" wrapText="1" shrinkToFit="1" readingOrder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distributed" wrapText="1" shrinkToFit="1" readingOrder="1"/>
    </xf>
    <xf numFmtId="0" fontId="34" fillId="11" borderId="29" xfId="0" applyFont="1" applyFill="1" applyBorder="1" applyAlignment="1">
      <alignment horizontal="center" vertical="center" wrapText="1"/>
    </xf>
    <xf numFmtId="0" fontId="34" fillId="11" borderId="30" xfId="0" applyFont="1" applyFill="1" applyBorder="1" applyAlignment="1">
      <alignment horizontal="center" vertical="center" wrapText="1"/>
    </xf>
    <xf numFmtId="0" fontId="34" fillId="11" borderId="29" xfId="0" applyFont="1" applyFill="1" applyBorder="1" applyAlignment="1">
      <alignment horizontal="center" vertical="center"/>
    </xf>
    <xf numFmtId="0" fontId="34" fillId="11" borderId="3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4" fontId="9" fillId="0" borderId="6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8" fillId="13" borderId="1" xfId="0" applyFont="1" applyFill="1" applyBorder="1" applyAlignment="1">
      <alignment horizontal="center"/>
    </xf>
    <xf numFmtId="0" fontId="38" fillId="13" borderId="1" xfId="0" applyFont="1" applyFill="1" applyBorder="1" applyAlignment="1">
      <alignment horizontal="center" wrapText="1"/>
    </xf>
    <xf numFmtId="0" fontId="39" fillId="0" borderId="1" xfId="0" applyFont="1" applyBorder="1"/>
    <xf numFmtId="0" fontId="38" fillId="13" borderId="1" xfId="0" applyFont="1" applyFill="1" applyBorder="1" applyAlignment="1">
      <alignment horizontal="center" vertical="center" wrapText="1"/>
    </xf>
    <xf numFmtId="0" fontId="38" fillId="13" borderId="35" xfId="0" applyFont="1" applyFill="1" applyBorder="1" applyAlignment="1">
      <alignment horizontal="center" vertical="center" wrapText="1"/>
    </xf>
    <xf numFmtId="0" fontId="39" fillId="0" borderId="36" xfId="0" applyFont="1" applyBorder="1"/>
    <xf numFmtId="0" fontId="39" fillId="0" borderId="37" xfId="0" applyFont="1" applyBorder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distributed" wrapText="1" shrinkToFit="1" readingOrder="1"/>
    </xf>
    <xf numFmtId="0" fontId="22" fillId="8" borderId="8" xfId="0" applyFont="1" applyFill="1" applyBorder="1" applyAlignment="1">
      <alignment horizontal="left" vertical="center" wrapText="1"/>
    </xf>
    <xf numFmtId="0" fontId="22" fillId="8" borderId="18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0" fillId="9" borderId="4" xfId="0" applyFont="1" applyFill="1" applyBorder="1" applyAlignment="1" applyProtection="1">
      <alignment horizontal="center" vertical="center"/>
      <protection locked="0"/>
    </xf>
    <xf numFmtId="0" fontId="10" fillId="9" borderId="17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22" fillId="8" borderId="6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17" xfId="0" applyFont="1" applyFill="1" applyBorder="1" applyAlignment="1">
      <alignment horizontal="left" vertical="center" wrapText="1"/>
    </xf>
    <xf numFmtId="0" fontId="10" fillId="7" borderId="17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45" fillId="4" borderId="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0" fillId="7" borderId="17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44" fillId="4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9" borderId="4" xfId="0" applyFont="1" applyFill="1" applyBorder="1" applyAlignment="1" applyProtection="1">
      <alignment horizontal="left" vertical="center"/>
      <protection locked="0"/>
    </xf>
    <xf numFmtId="0" fontId="10" fillId="9" borderId="17" xfId="0" applyFont="1" applyFill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9" borderId="4" xfId="0" applyFont="1" applyFill="1" applyBorder="1" applyAlignment="1" applyProtection="1">
      <alignment horizontal="left" vertical="center" wrapText="1"/>
      <protection locked="0"/>
    </xf>
    <xf numFmtId="0" fontId="10" fillId="9" borderId="17" xfId="0" applyFont="1" applyFill="1" applyBorder="1" applyAlignment="1" applyProtection="1">
      <alignment horizontal="left" vertical="center" wrapText="1"/>
      <protection locked="0"/>
    </xf>
    <xf numFmtId="0" fontId="27" fillId="7" borderId="4" xfId="0" applyFont="1" applyFill="1" applyBorder="1" applyAlignment="1">
      <alignment horizontal="left" vertical="center"/>
    </xf>
    <xf numFmtId="0" fontId="27" fillId="7" borderId="17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10" fillId="0" borderId="18" xfId="0" applyFont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29" xfId="0" applyFont="1" applyBorder="1" applyAlignment="1" applyProtection="1">
      <alignment horizontal="left" vertical="center"/>
      <protection locked="0"/>
    </xf>
    <xf numFmtId="0" fontId="24" fillId="0" borderId="30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>
      <alignment horizontal="left" vertical="center" wrapText="1"/>
    </xf>
    <xf numFmtId="0" fontId="24" fillId="0" borderId="1" xfId="7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24" fillId="4" borderId="14" xfId="0" applyFont="1" applyFill="1" applyBorder="1" applyAlignment="1">
      <alignment horizontal="left" vertical="center"/>
    </xf>
    <xf numFmtId="0" fontId="24" fillId="4" borderId="25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9" borderId="22" xfId="0" applyFont="1" applyFill="1" applyBorder="1" applyAlignment="1" applyProtection="1">
      <alignment horizontal="left" vertical="center"/>
      <protection locked="0"/>
    </xf>
    <xf numFmtId="0" fontId="10" fillId="9" borderId="23" xfId="0" applyFont="1" applyFill="1" applyBorder="1" applyAlignment="1" applyProtection="1">
      <alignment horizontal="left" vertical="center"/>
      <protection locked="0"/>
    </xf>
    <xf numFmtId="0" fontId="10" fillId="9" borderId="24" xfId="0" applyFont="1" applyFill="1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45" fillId="4" borderId="18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44" fillId="4" borderId="18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10" fillId="9" borderId="19" xfId="0" applyFont="1" applyFill="1" applyBorder="1" applyAlignment="1" applyProtection="1">
      <alignment horizontal="center" vertical="center"/>
      <protection locked="0"/>
    </xf>
    <xf numFmtId="0" fontId="10" fillId="9" borderId="11" xfId="0" applyFont="1" applyFill="1" applyBorder="1" applyAlignment="1" applyProtection="1">
      <alignment horizontal="center" vertical="center"/>
      <protection locked="0"/>
    </xf>
    <xf numFmtId="0" fontId="10" fillId="9" borderId="20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3" borderId="29" xfId="0" applyFont="1" applyFill="1" applyBorder="1" applyAlignment="1">
      <alignment horizontal="left" vertical="center" wrapText="1"/>
    </xf>
    <xf numFmtId="0" fontId="24" fillId="3" borderId="30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9" borderId="39" xfId="0" applyFont="1" applyFill="1" applyBorder="1" applyAlignment="1" applyProtection="1">
      <alignment horizontal="left" vertical="center"/>
      <protection locked="0"/>
    </xf>
    <xf numFmtId="0" fontId="10" fillId="9" borderId="40" xfId="0" applyFont="1" applyFill="1" applyBorder="1" applyAlignment="1" applyProtection="1">
      <alignment horizontal="left" vertical="center"/>
      <protection locked="0"/>
    </xf>
    <xf numFmtId="0" fontId="10" fillId="9" borderId="41" xfId="0" applyFont="1" applyFill="1" applyBorder="1" applyAlignment="1" applyProtection="1">
      <alignment horizontal="left" vertical="center"/>
      <protection locked="0"/>
    </xf>
    <xf numFmtId="0" fontId="29" fillId="4" borderId="8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distributed" wrapText="1" shrinkToFi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0">
    <cellStyle name="Moeda" xfId="2" builtinId="4"/>
    <cellStyle name="Moeda 2" xfId="5" xr:uid="{E0342717-B4A8-4812-AFDE-B336DD49F1AF}"/>
    <cellStyle name="Moeda 2 2" xfId="6" xr:uid="{243F8B51-E6FD-4995-8988-1B6D186FABA5}"/>
    <cellStyle name="Moeda 3" xfId="4" xr:uid="{66B5D90A-CC2A-4794-9E90-7AE27FECD7D4}"/>
    <cellStyle name="Moeda 4" xfId="8" xr:uid="{7D0B04D5-B14F-4726-A851-E0326A57179E}"/>
    <cellStyle name="Normal" xfId="0" builtinId="0"/>
    <cellStyle name="Normal 2" xfId="1" xr:uid="{FE3AB13D-D540-4C2F-84DB-77D4A96BB351}"/>
    <cellStyle name="Normal 2 2" xfId="7" xr:uid="{50231120-BAAA-465D-BF44-7DB46DE11553}"/>
    <cellStyle name="Normal 3" xfId="3" xr:uid="{A84981C7-5955-4EF8-859B-62E0448E1066}"/>
    <cellStyle name="Normal 4" xfId="9" xr:uid="{5D5C1728-CFC5-4405-AE94-096CAE75E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nexo II-B Distribui&#231;&#227;o'!A1"/><Relationship Id="rId3" Type="http://schemas.openxmlformats.org/officeDocument/2006/relationships/hyperlink" Target="#'An IV B Custo Grupo 2'!A1"/><Relationship Id="rId7" Type="http://schemas.openxmlformats.org/officeDocument/2006/relationships/hyperlink" Target="#'Anexo II-A Sal&#225;rios'!A1"/><Relationship Id="rId2" Type="http://schemas.openxmlformats.org/officeDocument/2006/relationships/hyperlink" Target="#'Anexo III-B Uniformes'!A1"/><Relationship Id="rId1" Type="http://schemas.openxmlformats.org/officeDocument/2006/relationships/hyperlink" Target="#'Anexo III-A Equip.'!A1"/><Relationship Id="rId6" Type="http://schemas.openxmlformats.org/officeDocument/2006/relationships/hyperlink" Target="#'Anexo IV - Custo Total MDO'!A1"/><Relationship Id="rId5" Type="http://schemas.openxmlformats.org/officeDocument/2006/relationships/hyperlink" Target="#'An IV A Custo Grupo 1'!A1"/><Relationship Id="rId4" Type="http://schemas.openxmlformats.org/officeDocument/2006/relationships/hyperlink" Target="#'An IV C Custo Grupo 3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104775</xdr:rowOff>
    </xdr:from>
    <xdr:to>
      <xdr:col>9</xdr:col>
      <xdr:colOff>104775</xdr:colOff>
      <xdr:row>9</xdr:row>
      <xdr:rowOff>152400</xdr:rowOff>
    </xdr:to>
    <xdr:sp macro="" textlink="">
      <xdr:nvSpPr>
        <xdr:cNvPr id="2" name="Retângulo de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08AEB-7384-4833-9661-8A1A11723AB4}"/>
            </a:ext>
          </a:extLst>
        </xdr:cNvPr>
        <xdr:cNvSpPr/>
      </xdr:nvSpPr>
      <xdr:spPr>
        <a:xfrm>
          <a:off x="5438775" y="1343025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A - Relação dos Equipamentos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</xdr:colOff>
      <xdr:row>11</xdr:row>
      <xdr:rowOff>66675</xdr:rowOff>
    </xdr:from>
    <xdr:to>
      <xdr:col>2</xdr:col>
      <xdr:colOff>411480</xdr:colOff>
      <xdr:row>15</xdr:row>
      <xdr:rowOff>104775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D9B04-491D-4A73-9350-890D95024C07}"/>
            </a:ext>
          </a:extLst>
        </xdr:cNvPr>
        <xdr:cNvSpPr/>
      </xdr:nvSpPr>
      <xdr:spPr>
        <a:xfrm>
          <a:off x="57150" y="2447925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B - Relação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dos Uniformes, EPIS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200025</xdr:colOff>
      <xdr:row>11</xdr:row>
      <xdr:rowOff>40005</xdr:rowOff>
    </xdr:from>
    <xdr:to>
      <xdr:col>9</xdr:col>
      <xdr:colOff>123825</xdr:colOff>
      <xdr:row>15</xdr:row>
      <xdr:rowOff>72390</xdr:rowOff>
    </xdr:to>
    <xdr:sp macro="" textlink="">
      <xdr:nvSpPr>
        <xdr:cNvPr id="5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75EF88-980F-415D-BB3F-3641076C4EC5}"/>
            </a:ext>
          </a:extLst>
        </xdr:cNvPr>
        <xdr:cNvSpPr/>
      </xdr:nvSpPr>
      <xdr:spPr>
        <a:xfrm>
          <a:off x="5457825" y="2421255"/>
          <a:ext cx="2390775" cy="803910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B - Custo Postos Grupo 2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38100</xdr:colOff>
      <xdr:row>16</xdr:row>
      <xdr:rowOff>131445</xdr:rowOff>
    </xdr:from>
    <xdr:to>
      <xdr:col>2</xdr:col>
      <xdr:colOff>400050</xdr:colOff>
      <xdr:row>20</xdr:row>
      <xdr:rowOff>179070</xdr:rowOff>
    </xdr:to>
    <xdr:sp macro="" textlink="">
      <xdr:nvSpPr>
        <xdr:cNvPr id="6" name="Retângulo de cantos arredondados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0ECA02-D640-46F5-9508-B6C7DD4C541C}"/>
            </a:ext>
          </a:extLst>
        </xdr:cNvPr>
        <xdr:cNvSpPr/>
      </xdr:nvSpPr>
      <xdr:spPr>
        <a:xfrm>
          <a:off x="38100" y="3474720"/>
          <a:ext cx="238125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C - Custo Postos Grupo 3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714375</xdr:colOff>
      <xdr:row>11</xdr:row>
      <xdr:rowOff>57150</xdr:rowOff>
    </xdr:from>
    <xdr:to>
      <xdr:col>4</xdr:col>
      <xdr:colOff>668655</xdr:colOff>
      <xdr:row>15</xdr:row>
      <xdr:rowOff>95250</xdr:rowOff>
    </xdr:to>
    <xdr:sp macro="" textlink="">
      <xdr:nvSpPr>
        <xdr:cNvPr id="7" name="Retângulo de cantos arredondados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C0AE99D-2EAF-42F4-8191-C6A5EF5BCED5}"/>
            </a:ext>
          </a:extLst>
        </xdr:cNvPr>
        <xdr:cNvSpPr/>
      </xdr:nvSpPr>
      <xdr:spPr>
        <a:xfrm>
          <a:off x="2733675" y="243840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A - Custo Postos Grupo 1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714375</xdr:colOff>
      <xdr:row>16</xdr:row>
      <xdr:rowOff>160020</xdr:rowOff>
    </xdr:from>
    <xdr:to>
      <xdr:col>4</xdr:col>
      <xdr:colOff>676275</xdr:colOff>
      <xdr:row>21</xdr:row>
      <xdr:rowOff>17145</xdr:rowOff>
    </xdr:to>
    <xdr:sp macro="" textlink="">
      <xdr:nvSpPr>
        <xdr:cNvPr id="8" name="Retângulo de cantos arredondados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C3BC82-5D8B-48A6-A37A-89C5627D368B}"/>
            </a:ext>
          </a:extLst>
        </xdr:cNvPr>
        <xdr:cNvSpPr/>
      </xdr:nvSpPr>
      <xdr:spPr>
        <a:xfrm>
          <a:off x="2733675" y="3503295"/>
          <a:ext cx="238125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- Composição custos totais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</xdr:colOff>
      <xdr:row>5</xdr:row>
      <xdr:rowOff>152400</xdr:rowOff>
    </xdr:from>
    <xdr:to>
      <xdr:col>2</xdr:col>
      <xdr:colOff>428625</xdr:colOff>
      <xdr:row>10</xdr:row>
      <xdr:rowOff>9525</xdr:rowOff>
    </xdr:to>
    <xdr:sp macro="" textlink="">
      <xdr:nvSpPr>
        <xdr:cNvPr id="10" name="Retângulo de cantos arredondados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C52A23-1512-4ECF-A295-A2EDF0524DC4}"/>
            </a:ext>
          </a:extLst>
        </xdr:cNvPr>
        <xdr:cNvSpPr/>
      </xdr:nvSpPr>
      <xdr:spPr>
        <a:xfrm>
          <a:off x="57150" y="1581150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Média Salarial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666750</xdr:colOff>
      <xdr:row>5</xdr:row>
      <xdr:rowOff>133350</xdr:rowOff>
    </xdr:from>
    <xdr:to>
      <xdr:col>4</xdr:col>
      <xdr:colOff>638175</xdr:colOff>
      <xdr:row>9</xdr:row>
      <xdr:rowOff>180975</xdr:rowOff>
    </xdr:to>
    <xdr:sp macro="" textlink="">
      <xdr:nvSpPr>
        <xdr:cNvPr id="9" name="Retângulo de cantos arredondados 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14304AB-2D7C-4AAA-B329-BABEDECABC97}"/>
            </a:ext>
          </a:extLst>
        </xdr:cNvPr>
        <xdr:cNvSpPr/>
      </xdr:nvSpPr>
      <xdr:spPr>
        <a:xfrm>
          <a:off x="2686050" y="1371600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B - Distribuição dos Postos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12165</xdr:colOff>
      <xdr:row>3</xdr:row>
      <xdr:rowOff>28575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E2779-63B4-43CD-A66D-E71904098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0301" y="0"/>
          <a:ext cx="917040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3276600</xdr:colOff>
      <xdr:row>0</xdr:row>
      <xdr:rowOff>38100</xdr:rowOff>
    </xdr:from>
    <xdr:to>
      <xdr:col>2</xdr:col>
      <xdr:colOff>4193640</xdr:colOff>
      <xdr:row>3</xdr:row>
      <xdr:rowOff>66675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739A65-03A7-4ACF-A20D-084E6304A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8275" y="38100"/>
          <a:ext cx="917040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552451</xdr:colOff>
      <xdr:row>0</xdr:row>
      <xdr:rowOff>0</xdr:rowOff>
    </xdr:from>
    <xdr:to>
      <xdr:col>6</xdr:col>
      <xdr:colOff>594998</xdr:colOff>
      <xdr:row>2</xdr:row>
      <xdr:rowOff>123825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4BF73-E443-44F4-A7DB-DD9AD019C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0"/>
          <a:ext cx="756922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642938</xdr:colOff>
      <xdr:row>0</xdr:row>
      <xdr:rowOff>0</xdr:rowOff>
    </xdr:from>
    <xdr:to>
      <xdr:col>8</xdr:col>
      <xdr:colOff>776168</xdr:colOff>
      <xdr:row>3</xdr:row>
      <xdr:rowOff>59530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A1F3C-6006-47AC-B64B-0BDE16F03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1" y="0"/>
          <a:ext cx="982542" cy="6429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531495</xdr:colOff>
      <xdr:row>0</xdr:row>
      <xdr:rowOff>0</xdr:rowOff>
    </xdr:from>
    <xdr:to>
      <xdr:col>7</xdr:col>
      <xdr:colOff>720190</xdr:colOff>
      <xdr:row>3</xdr:row>
      <xdr:rowOff>157418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66737-3875-4919-8EC1-46FC800D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3645" y="0"/>
          <a:ext cx="1103095" cy="8146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693420</xdr:colOff>
      <xdr:row>0</xdr:row>
      <xdr:rowOff>0</xdr:rowOff>
    </xdr:from>
    <xdr:to>
      <xdr:col>6</xdr:col>
      <xdr:colOff>704850</xdr:colOff>
      <xdr:row>3</xdr:row>
      <xdr:rowOff>5404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E145E9-C5D8-46F6-A394-64C101D15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99045" y="0"/>
          <a:ext cx="897255" cy="6626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0</xdr:rowOff>
    </xdr:from>
    <xdr:to>
      <xdr:col>4</xdr:col>
      <xdr:colOff>890370</xdr:colOff>
      <xdr:row>3</xdr:row>
      <xdr:rowOff>157418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00B678-FFB3-4BF8-919D-1D5E697A0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400" y="0"/>
          <a:ext cx="1109445" cy="8146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1120775</xdr:colOff>
      <xdr:row>0</xdr:row>
      <xdr:rowOff>0</xdr:rowOff>
    </xdr:from>
    <xdr:to>
      <xdr:col>7</xdr:col>
      <xdr:colOff>42108</xdr:colOff>
      <xdr:row>3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F4E58-BE07-4B00-85B1-25B56F679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2050" y="0"/>
          <a:ext cx="1073983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3AF1-08AD-442C-8168-7801BC8A0177}">
  <dimension ref="A1:N15"/>
  <sheetViews>
    <sheetView showGridLines="0" zoomScaleNormal="100" workbookViewId="0">
      <selection activeCell="A4" sqref="A4:G4"/>
    </sheetView>
  </sheetViews>
  <sheetFormatPr defaultColWidth="8.85546875" defaultRowHeight="15"/>
  <cols>
    <col min="2" max="2" width="21.42578125" customWidth="1"/>
    <col min="3" max="3" width="17.28515625" customWidth="1"/>
    <col min="4" max="4" width="19" customWidth="1"/>
    <col min="5" max="5" width="12.28515625" customWidth="1"/>
    <col min="6" max="6" width="8.42578125" customWidth="1"/>
    <col min="7" max="7" width="10.85546875" customWidth="1"/>
  </cols>
  <sheetData>
    <row r="1" spans="1:14" ht="18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3"/>
      <c r="L1" s="23"/>
      <c r="M1" s="23"/>
      <c r="N1" s="23"/>
    </row>
    <row r="2" spans="1:14" ht="18.75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4"/>
      <c r="L2" s="24"/>
      <c r="M2" s="24"/>
      <c r="N2" s="24"/>
    </row>
    <row r="3" spans="1:14" ht="14.45" customHeight="1">
      <c r="A3" s="210"/>
      <c r="B3" s="210"/>
      <c r="C3" s="210"/>
      <c r="D3" s="210"/>
      <c r="E3" s="210"/>
      <c r="F3" s="210"/>
      <c r="G3" s="210"/>
      <c r="H3" s="8"/>
    </row>
    <row r="4" spans="1:14" ht="31.9" customHeight="1">
      <c r="A4" s="211" t="s">
        <v>167</v>
      </c>
      <c r="B4" s="211"/>
      <c r="C4" s="211"/>
      <c r="D4" s="211"/>
      <c r="E4" s="211"/>
      <c r="F4" s="211"/>
      <c r="G4" s="211"/>
      <c r="H4" s="211"/>
      <c r="I4" s="211"/>
      <c r="J4" s="211"/>
      <c r="K4" s="25"/>
      <c r="L4" s="25"/>
      <c r="M4" s="25"/>
      <c r="N4" s="25"/>
    </row>
    <row r="15" spans="1:14" ht="15.75">
      <c r="E15" s="26" t="s">
        <v>131</v>
      </c>
    </row>
  </sheetData>
  <mergeCells count="4">
    <mergeCell ref="A1:J1"/>
    <mergeCell ref="A2:J2"/>
    <mergeCell ref="A3:G3"/>
    <mergeCell ref="A4:J4"/>
  </mergeCells>
  <pageMargins left="0.511811024" right="0.511811024" top="0.78740157499999996" bottom="0.78740157499999996" header="0.31496062000000002" footer="0.31496062000000002"/>
  <pageSetup paperSize="9" scale="91" fitToHeight="0" orientation="landscape" r:id="rId1"/>
  <headerFooter>
    <oddHeader>&amp;L&amp;G&amp;C&amp;"-,Itálico"&amp;9Processo 23069.152636/2023-41
PE 16/2023&amp;R&amp;G</oddHeader>
    <oddFooter>&amp;L&amp;9&amp;A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F363-890B-42FE-80D0-E68211FDBE21}">
  <dimension ref="A1:M22"/>
  <sheetViews>
    <sheetView topLeftCell="A10" zoomScaleNormal="100" workbookViewId="0">
      <selection activeCell="A4" sqref="A4:G4"/>
    </sheetView>
  </sheetViews>
  <sheetFormatPr defaultRowHeight="15"/>
  <cols>
    <col min="1" max="1" width="5.140625" bestFit="1" customWidth="1"/>
    <col min="2" max="2" width="37.42578125" customWidth="1"/>
    <col min="3" max="3" width="11.85546875" customWidth="1"/>
    <col min="4" max="4" width="19.5703125" customWidth="1"/>
    <col min="5" max="5" width="13.5703125" bestFit="1" customWidth="1"/>
  </cols>
  <sheetData>
    <row r="1" spans="1:13">
      <c r="A1" s="212" t="s">
        <v>0</v>
      </c>
      <c r="B1" s="212"/>
      <c r="C1" s="212"/>
      <c r="D1" s="212"/>
      <c r="E1" s="212"/>
      <c r="F1" s="91"/>
      <c r="G1" s="91"/>
      <c r="H1" s="91"/>
      <c r="I1" s="91"/>
      <c r="J1" s="91"/>
      <c r="K1" s="91"/>
      <c r="L1" s="91"/>
      <c r="M1" s="91"/>
    </row>
    <row r="2" spans="1:13">
      <c r="A2" s="216" t="s">
        <v>2</v>
      </c>
      <c r="B2" s="216"/>
      <c r="C2" s="216"/>
      <c r="D2" s="216"/>
      <c r="E2" s="216"/>
      <c r="F2" s="5"/>
      <c r="G2" s="5"/>
      <c r="H2" s="5"/>
      <c r="I2" s="5"/>
      <c r="J2" s="5"/>
      <c r="K2" s="5"/>
      <c r="L2" s="5"/>
      <c r="M2" s="5"/>
    </row>
    <row r="3" spans="1:13">
      <c r="A3" s="4"/>
      <c r="B3" s="2"/>
      <c r="C3" s="2"/>
      <c r="D3" s="2"/>
    </row>
    <row r="4" spans="1:13">
      <c r="A4" s="217" t="s">
        <v>164</v>
      </c>
      <c r="B4" s="217"/>
      <c r="C4" s="217"/>
      <c r="D4" s="217"/>
      <c r="E4" s="217"/>
      <c r="F4" s="8"/>
      <c r="G4" s="8"/>
      <c r="H4" s="8"/>
      <c r="I4" s="8"/>
      <c r="J4" s="8"/>
      <c r="K4" s="8"/>
      <c r="L4" s="8"/>
      <c r="M4" s="8"/>
    </row>
    <row r="5" spans="1:13" ht="40.5" customHeight="1">
      <c r="A5" s="215" t="s">
        <v>167</v>
      </c>
      <c r="B5" s="215"/>
      <c r="C5" s="215"/>
      <c r="D5" s="215"/>
      <c r="E5" s="215"/>
      <c r="F5" s="9"/>
      <c r="G5" s="9"/>
      <c r="H5" s="9"/>
      <c r="I5" s="9"/>
      <c r="J5" s="9"/>
      <c r="K5" s="9"/>
      <c r="L5" s="9"/>
      <c r="M5" s="9"/>
    </row>
    <row r="6" spans="1:13" ht="15.75" thickBot="1"/>
    <row r="7" spans="1:13" ht="45">
      <c r="A7" s="117" t="s">
        <v>3</v>
      </c>
      <c r="B7" s="118" t="s">
        <v>161</v>
      </c>
      <c r="C7" s="119" t="s">
        <v>162</v>
      </c>
      <c r="D7" s="145" t="s">
        <v>295</v>
      </c>
      <c r="E7" s="120" t="s">
        <v>163</v>
      </c>
    </row>
    <row r="8" spans="1:13" ht="45">
      <c r="A8" s="121">
        <v>1</v>
      </c>
      <c r="B8" s="127" t="s">
        <v>168</v>
      </c>
      <c r="C8" s="126">
        <v>1</v>
      </c>
      <c r="D8" s="146" t="s">
        <v>297</v>
      </c>
      <c r="E8" s="148">
        <v>2103.1999999999998</v>
      </c>
    </row>
    <row r="9" spans="1:13" ht="45">
      <c r="A9" s="121">
        <v>2</v>
      </c>
      <c r="B9" s="127" t="s">
        <v>169</v>
      </c>
      <c r="C9" s="126">
        <v>1</v>
      </c>
      <c r="D9" s="146" t="s">
        <v>297</v>
      </c>
      <c r="E9" s="149">
        <v>1848</v>
      </c>
    </row>
    <row r="10" spans="1:13" ht="45">
      <c r="A10" s="121">
        <v>3</v>
      </c>
      <c r="B10" s="127" t="s">
        <v>179</v>
      </c>
      <c r="C10" s="126">
        <v>1</v>
      </c>
      <c r="D10" s="146" t="s">
        <v>297</v>
      </c>
      <c r="E10" s="150">
        <v>1848</v>
      </c>
    </row>
    <row r="11" spans="1:13" ht="45">
      <c r="A11" s="121">
        <v>4</v>
      </c>
      <c r="B11" s="127" t="s">
        <v>170</v>
      </c>
      <c r="C11" s="126">
        <v>1</v>
      </c>
      <c r="D11" s="146" t="s">
        <v>297</v>
      </c>
      <c r="E11" s="150">
        <v>1639</v>
      </c>
    </row>
    <row r="12" spans="1:13">
      <c r="A12" s="121">
        <v>5</v>
      </c>
      <c r="B12" s="127" t="s">
        <v>171</v>
      </c>
      <c r="C12" s="126">
        <v>2</v>
      </c>
      <c r="D12" s="146" t="s">
        <v>296</v>
      </c>
      <c r="E12" s="150">
        <v>1848</v>
      </c>
    </row>
    <row r="13" spans="1:13">
      <c r="A13" s="121">
        <v>6</v>
      </c>
      <c r="B13" s="127" t="s">
        <v>172</v>
      </c>
      <c r="C13" s="126">
        <v>7</v>
      </c>
      <c r="D13" s="146" t="s">
        <v>296</v>
      </c>
      <c r="E13" s="149">
        <v>1722.6</v>
      </c>
    </row>
    <row r="14" spans="1:13">
      <c r="A14" s="121">
        <v>7</v>
      </c>
      <c r="B14" s="127" t="s">
        <v>173</v>
      </c>
      <c r="C14" s="126">
        <v>9</v>
      </c>
      <c r="D14" s="146" t="s">
        <v>296</v>
      </c>
      <c r="E14" s="149">
        <v>2288</v>
      </c>
    </row>
    <row r="15" spans="1:13">
      <c r="A15" s="121">
        <v>8</v>
      </c>
      <c r="B15" s="127" t="s">
        <v>174</v>
      </c>
      <c r="C15" s="126">
        <v>3</v>
      </c>
      <c r="D15" s="146" t="s">
        <v>296</v>
      </c>
      <c r="E15" s="149">
        <v>1848</v>
      </c>
    </row>
    <row r="16" spans="1:13">
      <c r="A16" s="121">
        <v>9</v>
      </c>
      <c r="B16" s="127" t="s">
        <v>175</v>
      </c>
      <c r="C16" s="126">
        <v>5</v>
      </c>
      <c r="D16" s="146" t="s">
        <v>296</v>
      </c>
      <c r="E16" s="149">
        <v>1722.6</v>
      </c>
    </row>
    <row r="17" spans="1:5">
      <c r="A17" s="121">
        <v>10</v>
      </c>
      <c r="B17" s="127" t="s">
        <v>176</v>
      </c>
      <c r="C17" s="126">
        <v>8</v>
      </c>
      <c r="D17" s="146" t="s">
        <v>296</v>
      </c>
      <c r="E17" s="149">
        <v>1848</v>
      </c>
    </row>
    <row r="18" spans="1:5">
      <c r="A18" s="121">
        <v>11</v>
      </c>
      <c r="B18" s="127" t="s">
        <v>177</v>
      </c>
      <c r="C18" s="126">
        <v>76</v>
      </c>
      <c r="D18" s="146" t="s">
        <v>296</v>
      </c>
      <c r="E18" s="151">
        <v>1669.8</v>
      </c>
    </row>
    <row r="19" spans="1:5">
      <c r="A19" s="121">
        <v>12</v>
      </c>
      <c r="B19" s="127" t="s">
        <v>309</v>
      </c>
      <c r="C19" s="126">
        <v>7</v>
      </c>
      <c r="D19" s="146" t="s">
        <v>296</v>
      </c>
      <c r="E19" s="151">
        <v>1722.6</v>
      </c>
    </row>
    <row r="20" spans="1:5">
      <c r="A20" s="121">
        <v>13</v>
      </c>
      <c r="B20" s="127" t="s">
        <v>178</v>
      </c>
      <c r="C20" s="126">
        <v>28</v>
      </c>
      <c r="D20" s="146" t="s">
        <v>296</v>
      </c>
      <c r="E20" s="151">
        <v>1639</v>
      </c>
    </row>
    <row r="21" spans="1:5">
      <c r="A21" s="121">
        <v>14</v>
      </c>
      <c r="B21" s="127" t="s">
        <v>153</v>
      </c>
      <c r="C21" s="126">
        <v>2</v>
      </c>
      <c r="D21" s="146" t="s">
        <v>296</v>
      </c>
      <c r="E21" s="151">
        <v>1722.6</v>
      </c>
    </row>
    <row r="22" spans="1:5" ht="15.75" thickBot="1">
      <c r="A22" s="213" t="s">
        <v>69</v>
      </c>
      <c r="B22" s="214"/>
      <c r="C22" s="122">
        <f>SUM(C8:C21)</f>
        <v>151</v>
      </c>
      <c r="D22" s="147"/>
      <c r="E22" s="123"/>
    </row>
  </sheetData>
  <mergeCells count="5">
    <mergeCell ref="A1:E1"/>
    <mergeCell ref="A22:B22"/>
    <mergeCell ref="A5:E5"/>
    <mergeCell ref="A2:E2"/>
    <mergeCell ref="A4:E4"/>
  </mergeCells>
  <pageMargins left="0.511811024" right="0.511811024" top="0.78740157499999996" bottom="0.78740157499999996" header="0.31496062000000002" footer="0.31496062000000002"/>
  <pageSetup paperSize="9" scale="91" orientation="portrait" r:id="rId1"/>
  <headerFooter>
    <oddHeader>&amp;L&amp;G&amp;C&amp;"-,Itálico"&amp;9Processo 23069.152636/2023-41
PE 16/2023&amp;R&amp;G</oddHeader>
    <oddFooter>&amp;L&amp;9&amp;A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BB59-7279-4F63-8B3D-6DCDC1246C72}">
  <dimension ref="A1:O43"/>
  <sheetViews>
    <sheetView zoomScaleNormal="100" workbookViewId="0">
      <selection activeCell="A4" sqref="A4:G4"/>
    </sheetView>
  </sheetViews>
  <sheetFormatPr defaultRowHeight="15"/>
  <cols>
    <col min="1" max="1" width="5.140625" bestFit="1" customWidth="1"/>
    <col min="2" max="2" width="40.85546875" customWidth="1"/>
    <col min="3" max="3" width="68.5703125" customWidth="1"/>
    <col min="4" max="4" width="21.5703125" style="116" customWidth="1"/>
    <col min="5" max="5" width="30.7109375" style="116" customWidth="1"/>
    <col min="6" max="6" width="21.28515625" style="116" customWidth="1"/>
    <col min="7" max="7" width="13.5703125" style="116" bestFit="1" customWidth="1"/>
  </cols>
  <sheetData>
    <row r="1" spans="1:15" ht="15" customHeight="1">
      <c r="A1" s="212" t="s">
        <v>0</v>
      </c>
      <c r="B1" s="212"/>
      <c r="C1" s="21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>
      <c r="A2" s="216" t="s">
        <v>2</v>
      </c>
      <c r="B2" s="216"/>
      <c r="C2" s="21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4"/>
      <c r="B3" s="2"/>
      <c r="C3" s="2"/>
      <c r="D3" s="115"/>
      <c r="E3" s="115"/>
      <c r="F3" s="115"/>
      <c r="G3" s="115"/>
    </row>
    <row r="4" spans="1:15" ht="15" customHeight="1">
      <c r="A4" s="217" t="s">
        <v>166</v>
      </c>
      <c r="B4" s="217"/>
      <c r="C4" s="21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4.5" customHeight="1">
      <c r="A5" s="215" t="s">
        <v>167</v>
      </c>
      <c r="B5" s="215"/>
      <c r="C5" s="21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7" spans="1:15" ht="15.75">
      <c r="B7" s="132" t="s">
        <v>202</v>
      </c>
      <c r="C7" s="132" t="s">
        <v>203</v>
      </c>
      <c r="D7"/>
    </row>
    <row r="8" spans="1:15" ht="31.5">
      <c r="B8" s="133" t="s">
        <v>204</v>
      </c>
      <c r="C8" s="133" t="s">
        <v>205</v>
      </c>
      <c r="D8"/>
    </row>
    <row r="9" spans="1:15" ht="15.75">
      <c r="B9" s="133" t="s">
        <v>206</v>
      </c>
      <c r="C9" s="134" t="s">
        <v>207</v>
      </c>
      <c r="D9"/>
    </row>
    <row r="10" spans="1:15" ht="15.75">
      <c r="B10" s="133" t="s">
        <v>208</v>
      </c>
      <c r="C10" s="134" t="s">
        <v>209</v>
      </c>
      <c r="D10"/>
    </row>
    <row r="11" spans="1:15" ht="15.75">
      <c r="B11" s="133" t="s">
        <v>210</v>
      </c>
      <c r="C11" s="134" t="s">
        <v>211</v>
      </c>
      <c r="D11"/>
    </row>
    <row r="12" spans="1:15" ht="31.5">
      <c r="B12" s="135" t="s">
        <v>212</v>
      </c>
      <c r="C12" s="134" t="s">
        <v>213</v>
      </c>
      <c r="D12"/>
    </row>
    <row r="13" spans="1:15" ht="31.5">
      <c r="B13" s="133" t="s">
        <v>214</v>
      </c>
      <c r="C13" s="133" t="s">
        <v>205</v>
      </c>
      <c r="D13"/>
    </row>
    <row r="14" spans="1:15">
      <c r="D14"/>
    </row>
    <row r="15" spans="1:15">
      <c r="D15"/>
    </row>
    <row r="16" spans="1:15">
      <c r="B16" s="220" t="s">
        <v>215</v>
      </c>
      <c r="C16" s="221"/>
      <c r="G16"/>
    </row>
    <row r="17" spans="2:7">
      <c r="B17" s="136" t="s">
        <v>125</v>
      </c>
      <c r="C17" s="136" t="s">
        <v>129</v>
      </c>
      <c r="G17"/>
    </row>
    <row r="18" spans="2:7">
      <c r="B18" s="137" t="s">
        <v>216</v>
      </c>
      <c r="C18" s="138">
        <v>1</v>
      </c>
      <c r="G18"/>
    </row>
    <row r="19" spans="2:7">
      <c r="B19" s="137" t="s">
        <v>169</v>
      </c>
      <c r="C19" s="138">
        <v>1</v>
      </c>
      <c r="G19"/>
    </row>
    <row r="20" spans="2:7">
      <c r="B20" s="137" t="s">
        <v>236</v>
      </c>
      <c r="C20" s="138">
        <v>1</v>
      </c>
      <c r="G20"/>
    </row>
    <row r="21" spans="2:7">
      <c r="B21" s="137" t="s">
        <v>217</v>
      </c>
      <c r="C21" s="138">
        <v>1</v>
      </c>
      <c r="G21"/>
    </row>
    <row r="22" spans="2:7">
      <c r="B22" s="137" t="s">
        <v>171</v>
      </c>
      <c r="C22" s="138">
        <v>2</v>
      </c>
      <c r="G22"/>
    </row>
    <row r="23" spans="2:7">
      <c r="B23" s="137" t="s">
        <v>172</v>
      </c>
      <c r="C23" s="138">
        <v>6</v>
      </c>
      <c r="G23"/>
    </row>
    <row r="24" spans="2:7">
      <c r="B24" s="137" t="s">
        <v>218</v>
      </c>
      <c r="C24" s="138">
        <v>8</v>
      </c>
      <c r="G24"/>
    </row>
    <row r="25" spans="2:7">
      <c r="B25" s="137" t="s">
        <v>174</v>
      </c>
      <c r="C25" s="138">
        <v>2</v>
      </c>
      <c r="G25"/>
    </row>
    <row r="26" spans="2:7">
      <c r="B26" s="137" t="s">
        <v>175</v>
      </c>
      <c r="C26" s="138">
        <v>5</v>
      </c>
      <c r="G26"/>
    </row>
    <row r="27" spans="2:7">
      <c r="B27" s="137" t="s">
        <v>176</v>
      </c>
      <c r="C27" s="138">
        <v>6</v>
      </c>
      <c r="G27"/>
    </row>
    <row r="28" spans="2:7">
      <c r="B28" s="137" t="s">
        <v>177</v>
      </c>
      <c r="C28" s="138">
        <v>70</v>
      </c>
      <c r="G28"/>
    </row>
    <row r="29" spans="2:7">
      <c r="B29" s="137" t="s">
        <v>309</v>
      </c>
      <c r="C29" s="138">
        <v>7</v>
      </c>
      <c r="G29"/>
    </row>
    <row r="30" spans="2:7">
      <c r="B30" s="137" t="s">
        <v>178</v>
      </c>
      <c r="C30" s="138">
        <v>24</v>
      </c>
      <c r="G30"/>
    </row>
    <row r="31" spans="2:7">
      <c r="B31" s="137" t="s">
        <v>153</v>
      </c>
      <c r="C31" s="138">
        <v>2</v>
      </c>
      <c r="G31"/>
    </row>
    <row r="32" spans="2:7">
      <c r="B32" s="139" t="s">
        <v>69</v>
      </c>
      <c r="C32" s="136">
        <f>SUM(C18:C31)</f>
        <v>136</v>
      </c>
      <c r="G32"/>
    </row>
    <row r="33" spans="2:7">
      <c r="D33"/>
    </row>
    <row r="34" spans="2:7">
      <c r="D34"/>
    </row>
    <row r="35" spans="2:7" ht="15" customHeight="1">
      <c r="B35" s="218" t="s">
        <v>219</v>
      </c>
      <c r="C35" s="219"/>
      <c r="G35"/>
    </row>
    <row r="36" spans="2:7">
      <c r="B36" s="136" t="s">
        <v>125</v>
      </c>
      <c r="C36" s="136" t="s">
        <v>129</v>
      </c>
      <c r="G36"/>
    </row>
    <row r="37" spans="2:7">
      <c r="B37" s="137" t="s">
        <v>172</v>
      </c>
      <c r="C37" s="138">
        <v>1</v>
      </c>
      <c r="G37"/>
    </row>
    <row r="38" spans="2:7">
      <c r="B38" s="137" t="s">
        <v>218</v>
      </c>
      <c r="C38" s="138">
        <v>1</v>
      </c>
      <c r="G38"/>
    </row>
    <row r="39" spans="2:7">
      <c r="B39" s="137" t="s">
        <v>174</v>
      </c>
      <c r="C39" s="138">
        <v>1</v>
      </c>
      <c r="G39"/>
    </row>
    <row r="40" spans="2:7">
      <c r="B40" s="137" t="s">
        <v>176</v>
      </c>
      <c r="C40" s="138">
        <v>2</v>
      </c>
      <c r="G40"/>
    </row>
    <row r="41" spans="2:7">
      <c r="B41" s="137" t="s">
        <v>177</v>
      </c>
      <c r="C41" s="138">
        <v>6</v>
      </c>
      <c r="G41"/>
    </row>
    <row r="42" spans="2:7">
      <c r="B42" s="137" t="s">
        <v>178</v>
      </c>
      <c r="C42" s="138">
        <v>4</v>
      </c>
      <c r="G42"/>
    </row>
    <row r="43" spans="2:7">
      <c r="B43" s="139" t="s">
        <v>69</v>
      </c>
      <c r="C43" s="136">
        <f>SUM(C37:C42)</f>
        <v>15</v>
      </c>
      <c r="G43"/>
    </row>
  </sheetData>
  <mergeCells count="6">
    <mergeCell ref="A5:C5"/>
    <mergeCell ref="B35:C35"/>
    <mergeCell ref="B16:C16"/>
    <mergeCell ref="A1:C1"/>
    <mergeCell ref="A2:C2"/>
    <mergeCell ref="A4:C4"/>
  </mergeCells>
  <pageMargins left="0.511811024" right="0.511811024" top="0.78740157499999996" bottom="0.78740157499999996" header="0.31496062000000002" footer="0.31496062000000002"/>
  <pageSetup paperSize="9" scale="91" orientation="landscape" r:id="rId1"/>
  <headerFooter>
    <oddHeader>&amp;L&amp;G&amp;C&amp;"-,Itálico"&amp;9Processo 23069.152636/2023-41
PE 16/2023&amp;R&amp;G</oddHeader>
    <oddFooter>&amp;L&amp;9&amp;A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01AF-4CB0-4B0F-9530-ACC32024DEB5}">
  <dimension ref="A1:Z13"/>
  <sheetViews>
    <sheetView zoomScaleNormal="100" workbookViewId="0">
      <selection activeCell="A4" sqref="A4:G4"/>
    </sheetView>
  </sheetViews>
  <sheetFormatPr defaultRowHeight="15"/>
  <cols>
    <col min="1" max="1" width="4.7109375" style="5" bestFit="1" customWidth="1"/>
    <col min="2" max="2" width="25.140625" bestFit="1" customWidth="1"/>
    <col min="3" max="3" width="7" style="3" customWidth="1"/>
    <col min="4" max="4" width="4" bestFit="1" customWidth="1"/>
    <col min="5" max="5" width="23" bestFit="1" customWidth="1"/>
    <col min="6" max="7" width="10.7109375" bestFit="1" customWidth="1"/>
    <col min="8" max="8" width="19.5703125" bestFit="1" customWidth="1"/>
    <col min="9" max="9" width="7.140625" customWidth="1"/>
    <col min="10" max="10" width="8.5703125" customWidth="1"/>
    <col min="11" max="11" width="7.7109375" bestFit="1" customWidth="1"/>
    <col min="12" max="12" width="8.28515625" customWidth="1"/>
    <col min="13" max="13" width="8.7109375" customWidth="1"/>
    <col min="14" max="14" width="8" customWidth="1"/>
    <col min="15" max="15" width="7.28515625" bestFit="1" customWidth="1"/>
    <col min="16" max="16" width="7.7109375" bestFit="1" customWidth="1"/>
    <col min="17" max="18" width="6" bestFit="1" customWidth="1"/>
    <col min="19" max="19" width="8.28515625" customWidth="1"/>
  </cols>
  <sheetData>
    <row r="1" spans="1:26" ht="14.45" customHeight="1">
      <c r="A1" s="212" t="s">
        <v>0</v>
      </c>
      <c r="B1" s="212"/>
      <c r="C1" s="212"/>
      <c r="D1" s="212"/>
      <c r="E1" s="212"/>
      <c r="F1" s="212"/>
      <c r="G1" s="2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16" t="s">
        <v>2</v>
      </c>
      <c r="B2" s="216"/>
      <c r="C2" s="216"/>
      <c r="D2" s="216"/>
      <c r="E2" s="216"/>
      <c r="F2" s="216"/>
      <c r="G2" s="21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6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ht="27" customHeight="1">
      <c r="A4" s="217" t="s">
        <v>8</v>
      </c>
      <c r="B4" s="217"/>
      <c r="C4" s="217"/>
      <c r="D4" s="217"/>
      <c r="E4" s="217"/>
      <c r="F4" s="217"/>
      <c r="G4" s="217"/>
      <c r="H4" s="8"/>
    </row>
    <row r="5" spans="1:26" ht="34.15" customHeight="1">
      <c r="A5" s="215" t="s">
        <v>167</v>
      </c>
      <c r="B5" s="215"/>
      <c r="C5" s="215"/>
      <c r="D5" s="215"/>
      <c r="E5" s="215"/>
      <c r="F5" s="215"/>
      <c r="G5" s="215"/>
      <c r="H5" s="9"/>
    </row>
    <row r="6" spans="1:26" ht="15.75" thickBot="1">
      <c r="A6"/>
      <c r="C6"/>
    </row>
    <row r="7" spans="1:26">
      <c r="A7" s="222" t="s">
        <v>160</v>
      </c>
      <c r="B7" s="223"/>
      <c r="C7" s="223"/>
      <c r="D7" s="223"/>
      <c r="E7" s="223"/>
      <c r="F7" s="223"/>
      <c r="G7" s="224"/>
    </row>
    <row r="8" spans="1:26">
      <c r="A8" s="18" t="s">
        <v>3</v>
      </c>
      <c r="B8" s="230" t="s">
        <v>1</v>
      </c>
      <c r="C8" s="230"/>
      <c r="D8" s="92" t="s">
        <v>4</v>
      </c>
      <c r="E8" s="92" t="s">
        <v>5</v>
      </c>
      <c r="F8" s="92" t="s">
        <v>23</v>
      </c>
      <c r="G8" s="19" t="s">
        <v>6</v>
      </c>
    </row>
    <row r="9" spans="1:26">
      <c r="A9" s="20">
        <v>1</v>
      </c>
      <c r="B9" s="231" t="s">
        <v>20</v>
      </c>
      <c r="C9" s="231"/>
      <c r="D9" s="90">
        <v>2</v>
      </c>
      <c r="E9" s="7">
        <v>1433</v>
      </c>
      <c r="F9" s="6">
        <f t="shared" ref="F9" si="0">E9*D9</f>
        <v>2866</v>
      </c>
      <c r="G9" s="21" t="s">
        <v>7</v>
      </c>
    </row>
    <row r="10" spans="1:26">
      <c r="A10" s="225" t="s">
        <v>22</v>
      </c>
      <c r="B10" s="226"/>
      <c r="C10" s="226"/>
      <c r="D10" s="226"/>
      <c r="E10" s="226"/>
      <c r="F10" s="93">
        <f>F9/60</f>
        <v>47.766666666666666</v>
      </c>
      <c r="G10" s="10"/>
    </row>
    <row r="11" spans="1:26">
      <c r="A11" s="225" t="s">
        <v>24</v>
      </c>
      <c r="B11" s="226"/>
      <c r="C11" s="226"/>
      <c r="D11" s="226"/>
      <c r="E11" s="226"/>
      <c r="F11" s="93">
        <f>SUM(F10:F10)</f>
        <v>47.766666666666666</v>
      </c>
      <c r="G11" s="10"/>
    </row>
    <row r="12" spans="1:26" ht="15.75" thickBot="1">
      <c r="A12" s="227" t="s">
        <v>287</v>
      </c>
      <c r="B12" s="228"/>
      <c r="C12" s="228"/>
      <c r="D12" s="228"/>
      <c r="E12" s="228"/>
      <c r="F12" s="22">
        <f>F11/151</f>
        <v>0.31633554083885207</v>
      </c>
      <c r="G12" s="11"/>
    </row>
    <row r="13" spans="1:26" ht="22.5" customHeight="1">
      <c r="A13" s="229" t="s">
        <v>21</v>
      </c>
      <c r="B13" s="229"/>
      <c r="C13" s="229"/>
      <c r="D13" s="229"/>
      <c r="E13" s="229"/>
      <c r="F13" s="229"/>
      <c r="G13" s="229"/>
    </row>
  </sheetData>
  <mergeCells count="11">
    <mergeCell ref="A10:E10"/>
    <mergeCell ref="A11:E11"/>
    <mergeCell ref="A12:E12"/>
    <mergeCell ref="A13:G13"/>
    <mergeCell ref="B8:C8"/>
    <mergeCell ref="B9:C9"/>
    <mergeCell ref="A1:G1"/>
    <mergeCell ref="A2:G2"/>
    <mergeCell ref="A4:G4"/>
    <mergeCell ref="A5:G5"/>
    <mergeCell ref="A7:G7"/>
  </mergeCells>
  <pageMargins left="0.511811024" right="0.511811024" top="0.78740157499999996" bottom="0.78740157499999996" header="0.31496062000000002" footer="0.31496062000000002"/>
  <pageSetup paperSize="9" scale="91" orientation="portrait" r:id="rId1"/>
  <headerFooter>
    <oddHeader>&amp;L&amp;G&amp;C&amp;"-,Itálico"&amp;9Processo 23069.152636/2023-41
PE 16/2023&amp;R&amp;G</oddHeader>
    <oddFooter>&amp;L&amp;9&amp;A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C8CB-699E-4DB1-AF53-27857BF6777F}">
  <dimension ref="A1:AC175"/>
  <sheetViews>
    <sheetView tabSelected="1" zoomScale="80" zoomScaleNormal="80" workbookViewId="0">
      <selection activeCell="A4" sqref="A4:I4"/>
    </sheetView>
  </sheetViews>
  <sheetFormatPr defaultRowHeight="15"/>
  <cols>
    <col min="1" max="1" width="5.28515625" style="5" bestFit="1" customWidth="1"/>
    <col min="2" max="2" width="34.7109375" style="144" customWidth="1"/>
    <col min="3" max="3" width="6" bestFit="1" customWidth="1"/>
    <col min="4" max="4" width="9.7109375" customWidth="1"/>
    <col min="5" max="5" width="9.42578125" customWidth="1"/>
    <col min="6" max="7" width="15.140625" style="3" customWidth="1"/>
    <col min="8" max="8" width="12.85546875" customWidth="1"/>
    <col min="9" max="9" width="14.140625" bestFit="1" customWidth="1"/>
    <col min="10" max="11" width="19.5703125" bestFit="1" customWidth="1"/>
    <col min="12" max="12" width="7.140625" customWidth="1"/>
    <col min="13" max="13" width="8.5703125" customWidth="1"/>
    <col min="14" max="14" width="7.7109375" bestFit="1" customWidth="1"/>
    <col min="15" max="15" width="8.28515625" customWidth="1"/>
    <col min="16" max="16" width="8.7109375" customWidth="1"/>
    <col min="17" max="17" width="8" customWidth="1"/>
    <col min="18" max="18" width="7.28515625" bestFit="1" customWidth="1"/>
    <col min="19" max="19" width="7.7109375" bestFit="1" customWidth="1"/>
    <col min="20" max="21" width="6" bestFit="1" customWidth="1"/>
    <col min="22" max="22" width="8.28515625" customWidth="1"/>
  </cols>
  <sheetData>
    <row r="1" spans="1:29" ht="15.6" customHeight="1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15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>
      <c r="A2" s="240" t="s">
        <v>2</v>
      </c>
      <c r="B2" s="240"/>
      <c r="C2" s="240"/>
      <c r="D2" s="240"/>
      <c r="E2" s="240"/>
      <c r="F2" s="240"/>
      <c r="G2" s="240"/>
      <c r="H2" s="240"/>
      <c r="I2" s="240"/>
      <c r="J2" s="15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9">
      <c r="A3" s="4"/>
      <c r="B3" s="14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9" ht="14.45" customHeight="1">
      <c r="A4" s="217" t="s">
        <v>9</v>
      </c>
      <c r="B4" s="217"/>
      <c r="C4" s="217"/>
      <c r="D4" s="217"/>
      <c r="E4" s="217"/>
      <c r="F4" s="217"/>
      <c r="G4" s="217"/>
      <c r="H4" s="217"/>
      <c r="I4" s="217"/>
      <c r="J4" s="8"/>
      <c r="K4" s="8"/>
    </row>
    <row r="5" spans="1:29" ht="48" customHeight="1">
      <c r="A5" s="215" t="s">
        <v>167</v>
      </c>
      <c r="B5" s="215"/>
      <c r="C5" s="215"/>
      <c r="D5" s="215"/>
      <c r="E5" s="215"/>
      <c r="F5" s="215"/>
      <c r="G5" s="215"/>
      <c r="H5" s="215"/>
      <c r="I5" s="215"/>
      <c r="J5" s="9"/>
      <c r="K5" s="9"/>
    </row>
    <row r="6" spans="1:29">
      <c r="A6"/>
      <c r="F6"/>
      <c r="G6"/>
    </row>
    <row r="7" spans="1:29">
      <c r="A7" s="235" t="s">
        <v>308</v>
      </c>
      <c r="B7" s="234"/>
      <c r="C7" s="234"/>
      <c r="D7" s="234"/>
      <c r="E7" s="234"/>
      <c r="F7" s="234"/>
      <c r="G7" s="234"/>
      <c r="H7" s="234"/>
      <c r="I7" s="234"/>
      <c r="J7" s="158"/>
      <c r="K7" s="159"/>
    </row>
    <row r="8" spans="1:29" ht="60">
      <c r="A8" s="166" t="s">
        <v>10</v>
      </c>
      <c r="B8" s="166" t="s">
        <v>12</v>
      </c>
      <c r="C8" s="166" t="s">
        <v>17</v>
      </c>
      <c r="D8" s="166" t="s">
        <v>18</v>
      </c>
      <c r="E8" s="166" t="s">
        <v>19</v>
      </c>
      <c r="F8" s="166" t="s">
        <v>304</v>
      </c>
      <c r="G8" s="166" t="s">
        <v>305</v>
      </c>
      <c r="H8" s="166" t="s">
        <v>306</v>
      </c>
      <c r="I8" s="166" t="s">
        <v>307</v>
      </c>
      <c r="J8" s="158"/>
      <c r="K8" s="159"/>
    </row>
    <row r="9" spans="1:29" ht="64.5">
      <c r="A9" s="167">
        <v>1</v>
      </c>
      <c r="B9" s="177" t="s">
        <v>220</v>
      </c>
      <c r="C9" s="169" t="s">
        <v>16</v>
      </c>
      <c r="D9" s="169">
        <v>2</v>
      </c>
      <c r="E9" s="169">
        <v>1</v>
      </c>
      <c r="F9" s="170">
        <f t="shared" ref="F9:F13" si="0">SUM(D9:E9)</f>
        <v>3</v>
      </c>
      <c r="G9" s="170">
        <v>9</v>
      </c>
      <c r="H9" s="171">
        <v>48.58</v>
      </c>
      <c r="I9" s="171">
        <f>F9*G9*H9</f>
        <v>1311.6599999999999</v>
      </c>
      <c r="J9" s="158"/>
      <c r="K9" s="159"/>
    </row>
    <row r="10" spans="1:29" ht="39">
      <c r="A10" s="170">
        <v>2</v>
      </c>
      <c r="B10" s="177" t="s">
        <v>285</v>
      </c>
      <c r="C10" s="169" t="s">
        <v>16</v>
      </c>
      <c r="D10" s="169">
        <v>3</v>
      </c>
      <c r="E10" s="169">
        <v>1</v>
      </c>
      <c r="F10" s="170">
        <f t="shared" si="0"/>
        <v>4</v>
      </c>
      <c r="G10" s="170">
        <v>9</v>
      </c>
      <c r="H10" s="171">
        <v>41.18</v>
      </c>
      <c r="I10" s="171">
        <f t="shared" ref="I10:I13" si="1">F10*G10*H10</f>
        <v>1482.48</v>
      </c>
      <c r="J10" s="158"/>
      <c r="K10" s="159"/>
    </row>
    <row r="11" spans="1:29" ht="153.75">
      <c r="A11" s="167">
        <v>3</v>
      </c>
      <c r="B11" s="177" t="s">
        <v>221</v>
      </c>
      <c r="C11" s="169" t="s">
        <v>15</v>
      </c>
      <c r="D11" s="169">
        <v>1</v>
      </c>
      <c r="E11" s="169">
        <v>1</v>
      </c>
      <c r="F11" s="170">
        <f t="shared" si="0"/>
        <v>2</v>
      </c>
      <c r="G11" s="170">
        <v>9</v>
      </c>
      <c r="H11" s="171">
        <v>44.95</v>
      </c>
      <c r="I11" s="171">
        <f t="shared" si="1"/>
        <v>809.1</v>
      </c>
      <c r="J11" s="158"/>
      <c r="K11" s="159"/>
    </row>
    <row r="12" spans="1:29" ht="39">
      <c r="A12" s="170">
        <v>4</v>
      </c>
      <c r="B12" s="177" t="s">
        <v>222</v>
      </c>
      <c r="C12" s="169" t="s">
        <v>16</v>
      </c>
      <c r="D12" s="169">
        <v>3</v>
      </c>
      <c r="E12" s="169">
        <v>2</v>
      </c>
      <c r="F12" s="170">
        <f t="shared" si="0"/>
        <v>5</v>
      </c>
      <c r="G12" s="170">
        <v>9</v>
      </c>
      <c r="H12" s="171">
        <v>7.39</v>
      </c>
      <c r="I12" s="171">
        <f t="shared" si="1"/>
        <v>332.55</v>
      </c>
      <c r="J12" s="158"/>
      <c r="K12" s="159"/>
    </row>
    <row r="13" spans="1:29" ht="51.75">
      <c r="A13" s="167">
        <v>5</v>
      </c>
      <c r="B13" s="177" t="s">
        <v>223</v>
      </c>
      <c r="C13" s="169" t="s">
        <v>224</v>
      </c>
      <c r="D13" s="169">
        <v>2</v>
      </c>
      <c r="E13" s="169">
        <v>2</v>
      </c>
      <c r="F13" s="170">
        <f t="shared" si="0"/>
        <v>4</v>
      </c>
      <c r="G13" s="170">
        <v>9</v>
      </c>
      <c r="H13" s="171">
        <v>6.46</v>
      </c>
      <c r="I13" s="171">
        <f t="shared" si="1"/>
        <v>232.56</v>
      </c>
      <c r="J13" s="158"/>
      <c r="K13" s="159"/>
    </row>
    <row r="14" spans="1:29">
      <c r="A14" s="233" t="s">
        <v>310</v>
      </c>
      <c r="B14" s="234"/>
      <c r="C14" s="234"/>
      <c r="D14" s="234"/>
      <c r="E14" s="234"/>
      <c r="F14" s="234"/>
      <c r="G14" s="173"/>
      <c r="H14" s="173"/>
      <c r="I14" s="174">
        <f>SUM(I9:I13)</f>
        <v>4168.3500000000004</v>
      </c>
      <c r="J14" s="158"/>
      <c r="K14" s="159"/>
    </row>
    <row r="15" spans="1:29">
      <c r="A15" s="232" t="s">
        <v>311</v>
      </c>
      <c r="B15" s="232"/>
      <c r="C15" s="232"/>
      <c r="D15" s="232"/>
      <c r="E15" s="232"/>
      <c r="F15" s="232"/>
      <c r="G15" s="173"/>
      <c r="H15" s="175"/>
      <c r="I15" s="176">
        <f>I14/9/12</f>
        <v>38.595833333333339</v>
      </c>
      <c r="J15" s="158"/>
      <c r="K15" s="159"/>
    </row>
    <row r="16" spans="1:29">
      <c r="A16"/>
      <c r="B16" s="152"/>
      <c r="F16"/>
      <c r="G16"/>
      <c r="J16" s="158"/>
      <c r="K16" s="159"/>
    </row>
    <row r="17" spans="1:11">
      <c r="A17"/>
      <c r="B17" s="152"/>
      <c r="F17"/>
      <c r="G17"/>
      <c r="J17" s="158"/>
      <c r="K17" s="159"/>
    </row>
    <row r="18" spans="1:11">
      <c r="A18" s="235" t="s">
        <v>225</v>
      </c>
      <c r="B18" s="234"/>
      <c r="C18" s="234"/>
      <c r="D18" s="234"/>
      <c r="E18" s="234"/>
      <c r="F18" s="234"/>
      <c r="G18" s="234"/>
      <c r="H18" s="234"/>
      <c r="I18" s="234"/>
      <c r="J18" s="158"/>
      <c r="K18" s="159"/>
    </row>
    <row r="19" spans="1:11" ht="60">
      <c r="A19" s="166" t="s">
        <v>10</v>
      </c>
      <c r="B19" s="166" t="s">
        <v>12</v>
      </c>
      <c r="C19" s="166" t="s">
        <v>17</v>
      </c>
      <c r="D19" s="166" t="s">
        <v>18</v>
      </c>
      <c r="E19" s="166" t="s">
        <v>19</v>
      </c>
      <c r="F19" s="166" t="s">
        <v>13</v>
      </c>
      <c r="G19" s="166" t="s">
        <v>303</v>
      </c>
      <c r="H19" s="166" t="s">
        <v>11</v>
      </c>
      <c r="I19" s="166" t="s">
        <v>14</v>
      </c>
      <c r="J19" s="158"/>
      <c r="K19" s="159"/>
    </row>
    <row r="20" spans="1:11" ht="30">
      <c r="A20" s="167">
        <v>1</v>
      </c>
      <c r="B20" s="168" t="s">
        <v>226</v>
      </c>
      <c r="C20" s="169" t="s">
        <v>16</v>
      </c>
      <c r="D20" s="169">
        <v>3</v>
      </c>
      <c r="E20" s="169">
        <v>1</v>
      </c>
      <c r="F20" s="170">
        <f t="shared" ref="F20:F29" si="2">SUM(D20:E20)</f>
        <v>4</v>
      </c>
      <c r="G20" s="170">
        <v>9</v>
      </c>
      <c r="H20" s="171">
        <v>40.17</v>
      </c>
      <c r="I20" s="171">
        <f t="shared" ref="I20:I29" si="3">F20*G20*H20</f>
        <v>1446.1200000000001</v>
      </c>
      <c r="J20" s="158"/>
      <c r="K20" s="159"/>
    </row>
    <row r="21" spans="1:11" ht="45">
      <c r="A21" s="170">
        <v>2</v>
      </c>
      <c r="B21" s="168" t="s">
        <v>243</v>
      </c>
      <c r="C21" s="169" t="s">
        <v>16</v>
      </c>
      <c r="D21" s="169">
        <v>3</v>
      </c>
      <c r="E21" s="169">
        <v>2</v>
      </c>
      <c r="F21" s="170">
        <f t="shared" si="2"/>
        <v>5</v>
      </c>
      <c r="G21" s="170">
        <v>9</v>
      </c>
      <c r="H21" s="171">
        <v>39.75</v>
      </c>
      <c r="I21" s="171">
        <f t="shared" si="3"/>
        <v>1788.75</v>
      </c>
      <c r="J21" s="158"/>
      <c r="K21" s="159"/>
    </row>
    <row r="22" spans="1:11" ht="45">
      <c r="A22" s="167">
        <v>3</v>
      </c>
      <c r="B22" s="168" t="s">
        <v>244</v>
      </c>
      <c r="C22" s="169" t="s">
        <v>159</v>
      </c>
      <c r="D22" s="169">
        <v>2</v>
      </c>
      <c r="E22" s="169">
        <v>1</v>
      </c>
      <c r="F22" s="170">
        <f t="shared" si="2"/>
        <v>3</v>
      </c>
      <c r="G22" s="170">
        <v>9</v>
      </c>
      <c r="H22" s="171">
        <v>39.65</v>
      </c>
      <c r="I22" s="171">
        <f t="shared" si="3"/>
        <v>1070.55</v>
      </c>
      <c r="J22" s="158"/>
      <c r="K22" s="159"/>
    </row>
    <row r="23" spans="1:11" ht="45">
      <c r="A23" s="167">
        <v>4</v>
      </c>
      <c r="B23" s="168" t="s">
        <v>222</v>
      </c>
      <c r="C23" s="169" t="s">
        <v>16</v>
      </c>
      <c r="D23" s="169">
        <v>3</v>
      </c>
      <c r="E23" s="169">
        <v>2</v>
      </c>
      <c r="F23" s="170">
        <f t="shared" si="2"/>
        <v>5</v>
      </c>
      <c r="G23" s="170">
        <v>9</v>
      </c>
      <c r="H23" s="171">
        <v>5.23</v>
      </c>
      <c r="I23" s="171">
        <f t="shared" si="3"/>
        <v>235.35000000000002</v>
      </c>
      <c r="J23" s="158"/>
      <c r="K23" s="159"/>
    </row>
    <row r="24" spans="1:11" ht="30">
      <c r="A24" s="170">
        <v>5</v>
      </c>
      <c r="B24" s="168" t="s">
        <v>246</v>
      </c>
      <c r="C24" s="169" t="s">
        <v>17</v>
      </c>
      <c r="D24" s="169">
        <v>2</v>
      </c>
      <c r="E24" s="169">
        <v>2</v>
      </c>
      <c r="F24" s="170">
        <f t="shared" si="2"/>
        <v>4</v>
      </c>
      <c r="G24" s="170">
        <v>9</v>
      </c>
      <c r="H24" s="171">
        <v>13.29</v>
      </c>
      <c r="I24" s="171">
        <f t="shared" si="3"/>
        <v>478.43999999999994</v>
      </c>
      <c r="J24" s="158"/>
      <c r="K24" s="159"/>
    </row>
    <row r="25" spans="1:11" ht="60">
      <c r="A25" s="167">
        <v>6</v>
      </c>
      <c r="B25" s="168" t="s">
        <v>245</v>
      </c>
      <c r="C25" s="169" t="s">
        <v>17</v>
      </c>
      <c r="D25" s="169">
        <v>1</v>
      </c>
      <c r="E25" s="169">
        <v>0</v>
      </c>
      <c r="F25" s="170">
        <f t="shared" si="2"/>
        <v>1</v>
      </c>
      <c r="G25" s="170">
        <v>9</v>
      </c>
      <c r="H25" s="171">
        <v>39.99</v>
      </c>
      <c r="I25" s="171">
        <f t="shared" si="3"/>
        <v>359.91</v>
      </c>
      <c r="J25" s="160"/>
      <c r="K25" s="159"/>
    </row>
    <row r="26" spans="1:11" ht="45">
      <c r="A26" s="167">
        <v>7</v>
      </c>
      <c r="B26" s="168" t="s">
        <v>247</v>
      </c>
      <c r="C26" s="169" t="s">
        <v>291</v>
      </c>
      <c r="D26" s="169">
        <v>1</v>
      </c>
      <c r="E26" s="169">
        <v>0</v>
      </c>
      <c r="F26" s="170">
        <f t="shared" si="2"/>
        <v>1</v>
      </c>
      <c r="G26" s="170">
        <v>9</v>
      </c>
      <c r="H26" s="171">
        <v>95.37</v>
      </c>
      <c r="I26" s="171">
        <f t="shared" si="3"/>
        <v>858.33</v>
      </c>
      <c r="J26" s="160"/>
      <c r="K26" s="159"/>
    </row>
    <row r="27" spans="1:11" ht="75">
      <c r="A27" s="170">
        <v>8</v>
      </c>
      <c r="B27" s="168" t="s">
        <v>249</v>
      </c>
      <c r="C27" s="169" t="s">
        <v>288</v>
      </c>
      <c r="D27" s="169">
        <v>2</v>
      </c>
      <c r="E27" s="169">
        <v>2</v>
      </c>
      <c r="F27" s="170">
        <f t="shared" si="2"/>
        <v>4</v>
      </c>
      <c r="G27" s="170">
        <v>9</v>
      </c>
      <c r="H27" s="171">
        <v>13.71</v>
      </c>
      <c r="I27" s="171">
        <f t="shared" si="3"/>
        <v>493.56000000000006</v>
      </c>
      <c r="J27" s="158"/>
      <c r="K27" s="159"/>
    </row>
    <row r="28" spans="1:11" ht="30">
      <c r="A28" s="167">
        <v>9</v>
      </c>
      <c r="B28" s="168" t="s">
        <v>248</v>
      </c>
      <c r="C28" s="169" t="s">
        <v>15</v>
      </c>
      <c r="D28" s="169">
        <v>4</v>
      </c>
      <c r="E28" s="169">
        <v>2</v>
      </c>
      <c r="F28" s="170">
        <f t="shared" si="2"/>
        <v>6</v>
      </c>
      <c r="G28" s="170">
        <v>9</v>
      </c>
      <c r="H28" s="171">
        <v>16</v>
      </c>
      <c r="I28" s="171">
        <f t="shared" si="3"/>
        <v>864</v>
      </c>
      <c r="J28" s="158"/>
      <c r="K28" s="159"/>
    </row>
    <row r="29" spans="1:11" ht="75">
      <c r="A29" s="167">
        <v>10</v>
      </c>
      <c r="B29" s="168" t="s">
        <v>223</v>
      </c>
      <c r="C29" s="169" t="s">
        <v>224</v>
      </c>
      <c r="D29" s="169">
        <v>2</v>
      </c>
      <c r="E29" s="169">
        <v>2</v>
      </c>
      <c r="F29" s="170">
        <f t="shared" si="2"/>
        <v>4</v>
      </c>
      <c r="G29" s="170">
        <v>9</v>
      </c>
      <c r="H29" s="171">
        <v>6.46</v>
      </c>
      <c r="I29" s="171">
        <f t="shared" si="3"/>
        <v>232.56</v>
      </c>
      <c r="J29" s="158"/>
      <c r="K29" s="159"/>
    </row>
    <row r="30" spans="1:11" ht="15" customHeight="1">
      <c r="A30" s="233" t="s">
        <v>310</v>
      </c>
      <c r="B30" s="234"/>
      <c r="C30" s="234"/>
      <c r="D30" s="234"/>
      <c r="E30" s="234"/>
      <c r="F30" s="234"/>
      <c r="G30" s="173"/>
      <c r="H30" s="173"/>
      <c r="I30" s="174">
        <f>SUM(I20:I29)</f>
        <v>7827.5700000000006</v>
      </c>
      <c r="J30" s="158"/>
      <c r="K30" s="159"/>
    </row>
    <row r="31" spans="1:11">
      <c r="A31" s="232" t="s">
        <v>311</v>
      </c>
      <c r="B31" s="232"/>
      <c r="C31" s="232"/>
      <c r="D31" s="232"/>
      <c r="E31" s="232"/>
      <c r="F31" s="232"/>
      <c r="G31" s="173"/>
      <c r="H31" s="175"/>
      <c r="I31" s="176">
        <f>I30/9/12</f>
        <v>72.477500000000006</v>
      </c>
      <c r="J31" s="158"/>
      <c r="K31" s="159"/>
    </row>
    <row r="32" spans="1:11">
      <c r="A32"/>
      <c r="B32" s="152"/>
      <c r="F32"/>
      <c r="G32"/>
      <c r="J32" s="158"/>
      <c r="K32" s="159"/>
    </row>
    <row r="33" spans="1:11">
      <c r="A33" s="235" t="s">
        <v>227</v>
      </c>
      <c r="B33" s="234"/>
      <c r="C33" s="234"/>
      <c r="D33" s="234"/>
      <c r="E33" s="234"/>
      <c r="F33" s="234"/>
      <c r="G33" s="234"/>
      <c r="H33" s="234"/>
      <c r="I33" s="234"/>
      <c r="J33" s="158"/>
      <c r="K33" s="159"/>
    </row>
    <row r="34" spans="1:11" ht="60">
      <c r="A34" s="166" t="s">
        <v>10</v>
      </c>
      <c r="B34" s="166" t="s">
        <v>12</v>
      </c>
      <c r="C34" s="166" t="s">
        <v>17</v>
      </c>
      <c r="D34" s="166" t="s">
        <v>18</v>
      </c>
      <c r="E34" s="166" t="s">
        <v>19</v>
      </c>
      <c r="F34" s="166" t="s">
        <v>13</v>
      </c>
      <c r="G34" s="166" t="s">
        <v>303</v>
      </c>
      <c r="H34" s="166" t="s">
        <v>11</v>
      </c>
      <c r="I34" s="166" t="s">
        <v>14</v>
      </c>
      <c r="J34" s="158"/>
      <c r="K34" s="159"/>
    </row>
    <row r="35" spans="1:11" ht="26.25">
      <c r="A35" s="167">
        <v>1</v>
      </c>
      <c r="B35" s="177" t="s">
        <v>230</v>
      </c>
      <c r="C35" s="169" t="s">
        <v>16</v>
      </c>
      <c r="D35" s="169">
        <v>3</v>
      </c>
      <c r="E35" s="169">
        <v>1</v>
      </c>
      <c r="F35" s="170">
        <f t="shared" ref="F35:F36" si="4">SUM(D35:E35)</f>
        <v>4</v>
      </c>
      <c r="G35" s="170">
        <v>9</v>
      </c>
      <c r="H35" s="171">
        <v>40.17</v>
      </c>
      <c r="I35" s="171">
        <f t="shared" ref="I35:I43" si="5">F35*G35*H35</f>
        <v>1446.1200000000001</v>
      </c>
      <c r="J35" s="158"/>
      <c r="K35" s="159"/>
    </row>
    <row r="36" spans="1:11" ht="51.75">
      <c r="A36" s="170">
        <v>2</v>
      </c>
      <c r="B36" s="177" t="s">
        <v>250</v>
      </c>
      <c r="C36" s="169" t="s">
        <v>16</v>
      </c>
      <c r="D36" s="169">
        <v>3</v>
      </c>
      <c r="E36" s="169">
        <v>2</v>
      </c>
      <c r="F36" s="170">
        <f t="shared" si="4"/>
        <v>5</v>
      </c>
      <c r="G36" s="170">
        <v>9</v>
      </c>
      <c r="H36" s="171">
        <v>41.18</v>
      </c>
      <c r="I36" s="171">
        <f t="shared" si="5"/>
        <v>1853.1</v>
      </c>
      <c r="J36" s="158"/>
      <c r="K36" s="159"/>
    </row>
    <row r="37" spans="1:11" ht="39">
      <c r="A37" s="170">
        <v>3</v>
      </c>
      <c r="B37" s="177" t="s">
        <v>251</v>
      </c>
      <c r="C37" s="169" t="s">
        <v>159</v>
      </c>
      <c r="D37" s="169">
        <v>2</v>
      </c>
      <c r="E37" s="169">
        <v>1</v>
      </c>
      <c r="F37" s="170">
        <v>3</v>
      </c>
      <c r="G37" s="170">
        <v>8</v>
      </c>
      <c r="H37" s="171">
        <v>39.65</v>
      </c>
      <c r="I37" s="171">
        <f t="shared" si="5"/>
        <v>951.59999999999991</v>
      </c>
      <c r="J37" s="160"/>
      <c r="K37" s="159"/>
    </row>
    <row r="38" spans="1:11" ht="39">
      <c r="A38" s="167">
        <v>4</v>
      </c>
      <c r="B38" s="177" t="s">
        <v>298</v>
      </c>
      <c r="C38" s="169" t="s">
        <v>15</v>
      </c>
      <c r="D38" s="169">
        <v>1</v>
      </c>
      <c r="E38" s="169">
        <v>1</v>
      </c>
      <c r="F38" s="170">
        <f t="shared" ref="F38:F43" si="6">SUM(D38:E38)</f>
        <v>2</v>
      </c>
      <c r="G38" s="170">
        <v>1</v>
      </c>
      <c r="H38" s="171">
        <v>137.83000000000001</v>
      </c>
      <c r="I38" s="171">
        <f t="shared" si="5"/>
        <v>275.66000000000003</v>
      </c>
      <c r="J38" s="160"/>
      <c r="K38" s="159"/>
    </row>
    <row r="39" spans="1:11" ht="39">
      <c r="A39" s="167">
        <v>5</v>
      </c>
      <c r="B39" s="177" t="s">
        <v>222</v>
      </c>
      <c r="C39" s="169" t="s">
        <v>16</v>
      </c>
      <c r="D39" s="169">
        <v>3</v>
      </c>
      <c r="E39" s="169">
        <v>2</v>
      </c>
      <c r="F39" s="170">
        <f t="shared" si="6"/>
        <v>5</v>
      </c>
      <c r="G39" s="170">
        <v>9</v>
      </c>
      <c r="H39" s="171">
        <v>7.39</v>
      </c>
      <c r="I39" s="171">
        <f t="shared" si="5"/>
        <v>332.55</v>
      </c>
      <c r="J39" s="161"/>
      <c r="K39" s="159"/>
    </row>
    <row r="40" spans="1:11">
      <c r="A40" s="170">
        <v>6</v>
      </c>
      <c r="B40" s="177" t="s">
        <v>252</v>
      </c>
      <c r="C40" s="169" t="s">
        <v>159</v>
      </c>
      <c r="D40" s="169">
        <v>2</v>
      </c>
      <c r="E40" s="169">
        <v>2</v>
      </c>
      <c r="F40" s="170">
        <f t="shared" si="6"/>
        <v>4</v>
      </c>
      <c r="G40" s="170">
        <v>9</v>
      </c>
      <c r="H40" s="171">
        <v>30.68</v>
      </c>
      <c r="I40" s="171">
        <f t="shared" si="5"/>
        <v>1104.48</v>
      </c>
      <c r="J40" s="158"/>
      <c r="K40" s="159"/>
    </row>
    <row r="41" spans="1:11" ht="64.5">
      <c r="A41" s="170">
        <v>7</v>
      </c>
      <c r="B41" s="177" t="s">
        <v>249</v>
      </c>
      <c r="C41" s="169" t="s">
        <v>288</v>
      </c>
      <c r="D41" s="169">
        <v>1</v>
      </c>
      <c r="E41" s="169">
        <v>1</v>
      </c>
      <c r="F41" s="170">
        <f t="shared" si="6"/>
        <v>2</v>
      </c>
      <c r="G41" s="170">
        <v>9</v>
      </c>
      <c r="H41" s="171">
        <v>13.71</v>
      </c>
      <c r="I41" s="171">
        <f t="shared" si="5"/>
        <v>246.78000000000003</v>
      </c>
      <c r="J41" s="158"/>
      <c r="K41" s="159"/>
    </row>
    <row r="42" spans="1:11" ht="64.5">
      <c r="A42" s="167">
        <v>8</v>
      </c>
      <c r="B42" s="177" t="s">
        <v>253</v>
      </c>
      <c r="C42" s="169" t="s">
        <v>159</v>
      </c>
      <c r="D42" s="169">
        <v>1</v>
      </c>
      <c r="E42" s="169">
        <v>1</v>
      </c>
      <c r="F42" s="170">
        <f t="shared" si="6"/>
        <v>2</v>
      </c>
      <c r="G42" s="170">
        <v>8</v>
      </c>
      <c r="H42" s="171">
        <v>13.29</v>
      </c>
      <c r="I42" s="171">
        <f t="shared" si="5"/>
        <v>212.64</v>
      </c>
      <c r="J42" s="158"/>
      <c r="K42" s="159"/>
    </row>
    <row r="43" spans="1:11" ht="51.75">
      <c r="A43" s="167">
        <v>9</v>
      </c>
      <c r="B43" s="177" t="s">
        <v>223</v>
      </c>
      <c r="C43" s="169" t="s">
        <v>224</v>
      </c>
      <c r="D43" s="169">
        <v>2</v>
      </c>
      <c r="E43" s="169">
        <v>2</v>
      </c>
      <c r="F43" s="170">
        <f t="shared" si="6"/>
        <v>4</v>
      </c>
      <c r="G43" s="170">
        <v>9</v>
      </c>
      <c r="H43" s="171">
        <v>6.46</v>
      </c>
      <c r="I43" s="171">
        <f t="shared" si="5"/>
        <v>232.56</v>
      </c>
      <c r="J43" s="158"/>
      <c r="K43" s="159"/>
    </row>
    <row r="44" spans="1:11" ht="15" customHeight="1">
      <c r="A44" s="233" t="s">
        <v>310</v>
      </c>
      <c r="B44" s="234"/>
      <c r="C44" s="234"/>
      <c r="D44" s="234"/>
      <c r="E44" s="234"/>
      <c r="F44" s="234"/>
      <c r="G44" s="173"/>
      <c r="H44" s="173"/>
      <c r="I44" s="174">
        <f>SUM(I35:I43)</f>
        <v>6655.4900000000007</v>
      </c>
      <c r="J44" s="158"/>
      <c r="K44" s="159"/>
    </row>
    <row r="45" spans="1:11">
      <c r="A45" s="232" t="s">
        <v>311</v>
      </c>
      <c r="B45" s="232"/>
      <c r="C45" s="232"/>
      <c r="D45" s="232"/>
      <c r="E45" s="232"/>
      <c r="F45" s="232"/>
      <c r="G45" s="175"/>
      <c r="H45" s="175"/>
      <c r="I45" s="176">
        <f>I44/12/9</f>
        <v>61.624907407407413</v>
      </c>
      <c r="J45" s="158"/>
      <c r="K45" s="159"/>
    </row>
    <row r="46" spans="1:11">
      <c r="A46"/>
      <c r="B46" s="152"/>
      <c r="F46"/>
      <c r="G46"/>
      <c r="J46" s="158"/>
      <c r="K46" s="159"/>
    </row>
    <row r="47" spans="1:11">
      <c r="A47" s="235" t="s">
        <v>228</v>
      </c>
      <c r="B47" s="234"/>
      <c r="C47" s="234"/>
      <c r="D47" s="234"/>
      <c r="E47" s="234"/>
      <c r="F47" s="234"/>
      <c r="G47" s="234"/>
      <c r="H47" s="234"/>
      <c r="I47" s="234"/>
      <c r="J47" s="158"/>
      <c r="K47" s="159"/>
    </row>
    <row r="48" spans="1:11" ht="60">
      <c r="A48" s="166" t="s">
        <v>10</v>
      </c>
      <c r="B48" s="166" t="s">
        <v>12</v>
      </c>
      <c r="C48" s="166" t="s">
        <v>17</v>
      </c>
      <c r="D48" s="166" t="s">
        <v>18</v>
      </c>
      <c r="E48" s="166" t="s">
        <v>19</v>
      </c>
      <c r="F48" s="166" t="s">
        <v>13</v>
      </c>
      <c r="G48" s="166" t="s">
        <v>303</v>
      </c>
      <c r="H48" s="166" t="s">
        <v>11</v>
      </c>
      <c r="I48" s="166" t="s">
        <v>14</v>
      </c>
      <c r="J48" s="158"/>
      <c r="K48" s="159"/>
    </row>
    <row r="49" spans="1:11" ht="30">
      <c r="A49" s="167">
        <v>1</v>
      </c>
      <c r="B49" s="168" t="s">
        <v>226</v>
      </c>
      <c r="C49" s="169" t="s">
        <v>16</v>
      </c>
      <c r="D49" s="169">
        <v>3</v>
      </c>
      <c r="E49" s="169">
        <v>1</v>
      </c>
      <c r="F49" s="170">
        <f t="shared" ref="F49:F58" si="7">SUM(D49:E49)</f>
        <v>4</v>
      </c>
      <c r="G49" s="170">
        <v>8</v>
      </c>
      <c r="H49" s="171">
        <v>40.17</v>
      </c>
      <c r="I49" s="171">
        <f t="shared" ref="I49:I58" si="8">F49*G49*H49</f>
        <v>1285.44</v>
      </c>
      <c r="J49" s="158"/>
      <c r="K49" s="159"/>
    </row>
    <row r="50" spans="1:11" ht="45">
      <c r="A50" s="170">
        <v>2</v>
      </c>
      <c r="B50" s="168" t="s">
        <v>254</v>
      </c>
      <c r="C50" s="169" t="s">
        <v>16</v>
      </c>
      <c r="D50" s="169">
        <v>3</v>
      </c>
      <c r="E50" s="169">
        <v>2</v>
      </c>
      <c r="F50" s="170">
        <f t="shared" si="7"/>
        <v>5</v>
      </c>
      <c r="G50" s="170">
        <v>8</v>
      </c>
      <c r="H50" s="171">
        <v>39.75</v>
      </c>
      <c r="I50" s="171">
        <f t="shared" si="8"/>
        <v>1590</v>
      </c>
      <c r="J50" s="158"/>
      <c r="K50" s="159"/>
    </row>
    <row r="51" spans="1:11" ht="45">
      <c r="A51" s="170">
        <v>3</v>
      </c>
      <c r="B51" s="168" t="s">
        <v>222</v>
      </c>
      <c r="C51" s="169" t="s">
        <v>15</v>
      </c>
      <c r="D51" s="169">
        <v>3</v>
      </c>
      <c r="E51" s="169">
        <v>2</v>
      </c>
      <c r="F51" s="170">
        <f t="shared" si="7"/>
        <v>5</v>
      </c>
      <c r="G51" s="170">
        <v>8</v>
      </c>
      <c r="H51" s="171">
        <v>7.39</v>
      </c>
      <c r="I51" s="171">
        <f t="shared" si="8"/>
        <v>295.59999999999997</v>
      </c>
      <c r="J51" s="158"/>
      <c r="K51" s="159"/>
    </row>
    <row r="52" spans="1:11" ht="30">
      <c r="A52" s="167">
        <v>4</v>
      </c>
      <c r="B52" s="168" t="s">
        <v>255</v>
      </c>
      <c r="C52" s="169" t="s">
        <v>15</v>
      </c>
      <c r="D52" s="169">
        <v>2</v>
      </c>
      <c r="E52" s="169">
        <v>1</v>
      </c>
      <c r="F52" s="170">
        <f t="shared" si="7"/>
        <v>3</v>
      </c>
      <c r="G52" s="170">
        <v>8</v>
      </c>
      <c r="H52" s="171">
        <v>39.65</v>
      </c>
      <c r="I52" s="171">
        <f t="shared" si="8"/>
        <v>951.59999999999991</v>
      </c>
      <c r="J52" s="158"/>
      <c r="K52" s="159"/>
    </row>
    <row r="53" spans="1:11" ht="75">
      <c r="A53" s="167">
        <v>5</v>
      </c>
      <c r="B53" s="168" t="s">
        <v>256</v>
      </c>
      <c r="C53" s="169" t="s">
        <v>159</v>
      </c>
      <c r="D53" s="169">
        <v>2</v>
      </c>
      <c r="E53" s="169">
        <v>2</v>
      </c>
      <c r="F53" s="170">
        <f t="shared" si="7"/>
        <v>4</v>
      </c>
      <c r="G53" s="170">
        <v>8</v>
      </c>
      <c r="H53" s="171">
        <v>13.29</v>
      </c>
      <c r="I53" s="171">
        <f t="shared" si="8"/>
        <v>425.28</v>
      </c>
      <c r="J53" s="158"/>
      <c r="K53" s="159"/>
    </row>
    <row r="54" spans="1:11" ht="60">
      <c r="A54" s="170">
        <v>6</v>
      </c>
      <c r="B54" s="168" t="s">
        <v>257</v>
      </c>
      <c r="C54" s="169" t="s">
        <v>159</v>
      </c>
      <c r="D54" s="169">
        <v>1</v>
      </c>
      <c r="E54" s="169">
        <v>0</v>
      </c>
      <c r="F54" s="170">
        <f t="shared" si="7"/>
        <v>1</v>
      </c>
      <c r="G54" s="170">
        <v>8</v>
      </c>
      <c r="H54" s="171">
        <v>39.99</v>
      </c>
      <c r="I54" s="171">
        <f t="shared" si="8"/>
        <v>319.92</v>
      </c>
      <c r="J54" s="160"/>
      <c r="K54" s="159"/>
    </row>
    <row r="55" spans="1:11" ht="45">
      <c r="A55" s="170">
        <v>7</v>
      </c>
      <c r="B55" s="168" t="s">
        <v>247</v>
      </c>
      <c r="C55" s="169" t="s">
        <v>16</v>
      </c>
      <c r="D55" s="169">
        <v>1</v>
      </c>
      <c r="E55" s="169">
        <v>0</v>
      </c>
      <c r="F55" s="170">
        <f t="shared" si="7"/>
        <v>1</v>
      </c>
      <c r="G55" s="170">
        <v>8</v>
      </c>
      <c r="H55" s="171">
        <v>95.37</v>
      </c>
      <c r="I55" s="171">
        <f t="shared" si="8"/>
        <v>762.96</v>
      </c>
      <c r="J55" s="160"/>
      <c r="K55" s="159"/>
    </row>
    <row r="56" spans="1:11">
      <c r="A56" s="167">
        <v>8</v>
      </c>
      <c r="B56" s="168" t="s">
        <v>259</v>
      </c>
      <c r="C56" s="169" t="s">
        <v>159</v>
      </c>
      <c r="D56" s="169">
        <v>1</v>
      </c>
      <c r="E56" s="169">
        <v>1</v>
      </c>
      <c r="F56" s="170">
        <f t="shared" si="7"/>
        <v>2</v>
      </c>
      <c r="G56" s="170">
        <v>8</v>
      </c>
      <c r="H56" s="171">
        <v>257.63</v>
      </c>
      <c r="I56" s="171">
        <f t="shared" si="8"/>
        <v>4122.08</v>
      </c>
      <c r="J56" s="160"/>
      <c r="K56" s="159"/>
    </row>
    <row r="57" spans="1:11" ht="75">
      <c r="A57" s="167">
        <v>9</v>
      </c>
      <c r="B57" s="168" t="s">
        <v>258</v>
      </c>
      <c r="C57" s="169" t="s">
        <v>289</v>
      </c>
      <c r="D57" s="169">
        <v>4</v>
      </c>
      <c r="E57" s="169">
        <v>4</v>
      </c>
      <c r="F57" s="170">
        <f t="shared" si="7"/>
        <v>8</v>
      </c>
      <c r="G57" s="170">
        <v>8</v>
      </c>
      <c r="H57" s="171">
        <v>13.71</v>
      </c>
      <c r="I57" s="171">
        <f t="shared" si="8"/>
        <v>877.44</v>
      </c>
      <c r="J57" s="158"/>
      <c r="K57" s="159"/>
    </row>
    <row r="58" spans="1:11" ht="75">
      <c r="A58" s="170">
        <v>10</v>
      </c>
      <c r="B58" s="168" t="s">
        <v>223</v>
      </c>
      <c r="C58" s="169" t="s">
        <v>224</v>
      </c>
      <c r="D58" s="169">
        <v>3</v>
      </c>
      <c r="E58" s="169">
        <v>3</v>
      </c>
      <c r="F58" s="170">
        <f t="shared" si="7"/>
        <v>6</v>
      </c>
      <c r="G58" s="170">
        <v>8</v>
      </c>
      <c r="H58" s="171">
        <v>6.46</v>
      </c>
      <c r="I58" s="171">
        <f t="shared" si="8"/>
        <v>310.08</v>
      </c>
      <c r="J58" s="158"/>
      <c r="K58" s="159"/>
    </row>
    <row r="59" spans="1:11" ht="15" customHeight="1">
      <c r="A59" s="233" t="s">
        <v>310</v>
      </c>
      <c r="B59" s="234"/>
      <c r="C59" s="234"/>
      <c r="D59" s="234"/>
      <c r="E59" s="234"/>
      <c r="F59" s="234"/>
      <c r="G59" s="173"/>
      <c r="H59" s="173"/>
      <c r="I59" s="174">
        <f>SUM(I49:I58)</f>
        <v>10940.4</v>
      </c>
      <c r="J59" s="158"/>
      <c r="K59" s="159"/>
    </row>
    <row r="60" spans="1:11">
      <c r="A60" s="232" t="s">
        <v>311</v>
      </c>
      <c r="B60" s="232"/>
      <c r="C60" s="232"/>
      <c r="D60" s="232"/>
      <c r="E60" s="232"/>
      <c r="F60" s="232"/>
      <c r="G60" s="175"/>
      <c r="H60" s="175"/>
      <c r="I60" s="176">
        <f>I59/12/8</f>
        <v>113.96249999999999</v>
      </c>
      <c r="J60" s="158"/>
      <c r="K60" s="159"/>
    </row>
    <row r="61" spans="1:11">
      <c r="A61"/>
      <c r="B61" s="152"/>
      <c r="F61"/>
      <c r="G61"/>
      <c r="J61" s="158"/>
      <c r="K61" s="159"/>
    </row>
    <row r="62" spans="1:11">
      <c r="A62" s="235" t="s">
        <v>229</v>
      </c>
      <c r="B62" s="234"/>
      <c r="C62" s="234"/>
      <c r="D62" s="234"/>
      <c r="E62" s="234"/>
      <c r="F62" s="234"/>
      <c r="G62" s="234"/>
      <c r="H62" s="234"/>
      <c r="I62" s="234"/>
      <c r="J62" s="158"/>
      <c r="K62" s="159"/>
    </row>
    <row r="63" spans="1:11" ht="60">
      <c r="A63" s="166" t="s">
        <v>10</v>
      </c>
      <c r="B63" s="166" t="s">
        <v>12</v>
      </c>
      <c r="C63" s="166" t="s">
        <v>17</v>
      </c>
      <c r="D63" s="166" t="s">
        <v>18</v>
      </c>
      <c r="E63" s="166" t="s">
        <v>19</v>
      </c>
      <c r="F63" s="166" t="s">
        <v>13</v>
      </c>
      <c r="G63" s="166" t="s">
        <v>303</v>
      </c>
      <c r="H63" s="166" t="s">
        <v>11</v>
      </c>
      <c r="I63" s="166" t="s">
        <v>14</v>
      </c>
      <c r="J63" s="158"/>
      <c r="K63" s="159"/>
    </row>
    <row r="64" spans="1:11" ht="30">
      <c r="A64" s="167">
        <v>1</v>
      </c>
      <c r="B64" s="168" t="s">
        <v>226</v>
      </c>
      <c r="C64" s="169" t="s">
        <v>16</v>
      </c>
      <c r="D64" s="169">
        <v>3</v>
      </c>
      <c r="E64" s="169">
        <v>1</v>
      </c>
      <c r="F64" s="170">
        <f t="shared" ref="F64:F79" si="9">SUM(D64:E64)</f>
        <v>4</v>
      </c>
      <c r="G64" s="170">
        <v>84</v>
      </c>
      <c r="H64" s="171">
        <v>40.17</v>
      </c>
      <c r="I64" s="171">
        <f t="shared" ref="I64:I79" si="10">F64*G64*H64</f>
        <v>13497.12</v>
      </c>
      <c r="J64" s="158"/>
      <c r="K64" s="159"/>
    </row>
    <row r="65" spans="1:11" ht="45">
      <c r="A65" s="170">
        <v>2</v>
      </c>
      <c r="B65" s="168" t="s">
        <v>254</v>
      </c>
      <c r="C65" s="169" t="s">
        <v>16</v>
      </c>
      <c r="D65" s="169">
        <v>3</v>
      </c>
      <c r="E65" s="169">
        <v>2</v>
      </c>
      <c r="F65" s="170">
        <f t="shared" si="9"/>
        <v>5</v>
      </c>
      <c r="G65" s="170">
        <v>84</v>
      </c>
      <c r="H65" s="171">
        <v>39.75</v>
      </c>
      <c r="I65" s="171">
        <f t="shared" si="10"/>
        <v>16695</v>
      </c>
      <c r="J65" s="158"/>
      <c r="K65" s="159"/>
    </row>
    <row r="66" spans="1:11" ht="45">
      <c r="A66" s="167">
        <v>3</v>
      </c>
      <c r="B66" s="168" t="s">
        <v>222</v>
      </c>
      <c r="C66" s="169" t="s">
        <v>159</v>
      </c>
      <c r="D66" s="169">
        <v>3</v>
      </c>
      <c r="E66" s="169">
        <v>2</v>
      </c>
      <c r="F66" s="170">
        <f t="shared" si="9"/>
        <v>5</v>
      </c>
      <c r="G66" s="170">
        <v>84</v>
      </c>
      <c r="H66" s="171">
        <v>7.39</v>
      </c>
      <c r="I66" s="171">
        <f t="shared" si="10"/>
        <v>3103.7999999999997</v>
      </c>
      <c r="J66" s="158"/>
      <c r="K66" s="159"/>
    </row>
    <row r="67" spans="1:11" ht="30">
      <c r="A67" s="167">
        <v>4</v>
      </c>
      <c r="B67" s="168" t="s">
        <v>255</v>
      </c>
      <c r="C67" s="169" t="s">
        <v>159</v>
      </c>
      <c r="D67" s="169">
        <v>2</v>
      </c>
      <c r="E67" s="169">
        <v>1</v>
      </c>
      <c r="F67" s="170">
        <f t="shared" si="9"/>
        <v>3</v>
      </c>
      <c r="G67" s="170">
        <v>60</v>
      </c>
      <c r="H67" s="171">
        <v>39.65</v>
      </c>
      <c r="I67" s="171">
        <f t="shared" si="10"/>
        <v>7137</v>
      </c>
      <c r="J67" s="158"/>
      <c r="K67" s="159"/>
    </row>
    <row r="68" spans="1:11" ht="90">
      <c r="A68" s="167">
        <v>5</v>
      </c>
      <c r="B68" s="168" t="s">
        <v>260</v>
      </c>
      <c r="C68" s="169" t="s">
        <v>16</v>
      </c>
      <c r="D68" s="169">
        <v>1</v>
      </c>
      <c r="E68" s="169">
        <v>1</v>
      </c>
      <c r="F68" s="170">
        <f t="shared" si="9"/>
        <v>2</v>
      </c>
      <c r="G68" s="170">
        <v>24</v>
      </c>
      <c r="H68" s="171">
        <v>137.83000000000001</v>
      </c>
      <c r="I68" s="171">
        <f t="shared" si="10"/>
        <v>6615.84</v>
      </c>
      <c r="J68" s="158"/>
      <c r="K68" s="159"/>
    </row>
    <row r="69" spans="1:11" ht="75">
      <c r="A69" s="170">
        <v>6</v>
      </c>
      <c r="B69" s="168" t="s">
        <v>299</v>
      </c>
      <c r="C69" s="169" t="s">
        <v>159</v>
      </c>
      <c r="D69" s="169">
        <v>2</v>
      </c>
      <c r="E69" s="169">
        <v>2</v>
      </c>
      <c r="F69" s="170">
        <f t="shared" si="9"/>
        <v>4</v>
      </c>
      <c r="G69" s="170">
        <v>84</v>
      </c>
      <c r="H69" s="171">
        <v>13.29</v>
      </c>
      <c r="I69" s="171">
        <f t="shared" si="10"/>
        <v>4465.4399999999996</v>
      </c>
      <c r="J69" s="160"/>
      <c r="K69" s="159"/>
    </row>
    <row r="70" spans="1:11" ht="276" customHeight="1">
      <c r="A70" s="167">
        <v>7</v>
      </c>
      <c r="B70" s="168" t="s">
        <v>312</v>
      </c>
      <c r="C70" s="169" t="s">
        <v>159</v>
      </c>
      <c r="D70" s="169">
        <v>1</v>
      </c>
      <c r="E70" s="169">
        <v>1</v>
      </c>
      <c r="F70" s="170">
        <f t="shared" si="9"/>
        <v>2</v>
      </c>
      <c r="G70" s="170">
        <v>16</v>
      </c>
      <c r="H70" s="171">
        <v>103.79</v>
      </c>
      <c r="I70" s="171">
        <f t="shared" si="10"/>
        <v>3321.28</v>
      </c>
      <c r="J70" s="160"/>
      <c r="K70" s="162"/>
    </row>
    <row r="71" spans="1:11" ht="246" customHeight="1">
      <c r="A71" s="167">
        <v>8</v>
      </c>
      <c r="B71" s="168" t="s">
        <v>286</v>
      </c>
      <c r="C71" s="169" t="s">
        <v>15</v>
      </c>
      <c r="D71" s="169">
        <v>4</v>
      </c>
      <c r="E71" s="169">
        <v>4</v>
      </c>
      <c r="F71" s="170">
        <f t="shared" si="9"/>
        <v>8</v>
      </c>
      <c r="G71" s="170">
        <v>16</v>
      </c>
      <c r="H71" s="171">
        <v>5.29</v>
      </c>
      <c r="I71" s="171">
        <f t="shared" si="10"/>
        <v>677.12</v>
      </c>
      <c r="J71" s="160"/>
      <c r="K71" s="155"/>
    </row>
    <row r="72" spans="1:11" ht="246" customHeight="1">
      <c r="A72" s="167">
        <v>9</v>
      </c>
      <c r="B72" s="168" t="s">
        <v>258</v>
      </c>
      <c r="C72" s="169" t="s">
        <v>289</v>
      </c>
      <c r="D72" s="169">
        <v>1</v>
      </c>
      <c r="E72" s="169">
        <v>1</v>
      </c>
      <c r="F72" s="170">
        <f t="shared" si="9"/>
        <v>2</v>
      </c>
      <c r="G72" s="170">
        <v>50</v>
      </c>
      <c r="H72" s="171">
        <v>13.71</v>
      </c>
      <c r="I72" s="171">
        <f t="shared" si="10"/>
        <v>1371</v>
      </c>
      <c r="J72" s="160"/>
      <c r="K72" s="155"/>
    </row>
    <row r="73" spans="1:11" ht="120">
      <c r="A73" s="170">
        <v>10</v>
      </c>
      <c r="B73" s="168" t="s">
        <v>261</v>
      </c>
      <c r="C73" s="169" t="s">
        <v>159</v>
      </c>
      <c r="D73" s="169">
        <v>1</v>
      </c>
      <c r="E73" s="169">
        <v>0</v>
      </c>
      <c r="F73" s="170">
        <f t="shared" si="9"/>
        <v>1</v>
      </c>
      <c r="G73" s="170">
        <v>6</v>
      </c>
      <c r="H73" s="171">
        <v>95.37</v>
      </c>
      <c r="I73" s="171">
        <f t="shared" si="10"/>
        <v>572.22</v>
      </c>
      <c r="J73" s="160"/>
      <c r="K73" s="163"/>
    </row>
    <row r="74" spans="1:11" ht="75">
      <c r="A74" s="167">
        <v>11</v>
      </c>
      <c r="B74" s="168" t="s">
        <v>262</v>
      </c>
      <c r="C74" s="169" t="s">
        <v>290</v>
      </c>
      <c r="D74" s="169">
        <v>4</v>
      </c>
      <c r="E74" s="169">
        <v>3</v>
      </c>
      <c r="F74" s="170">
        <f t="shared" si="9"/>
        <v>7</v>
      </c>
      <c r="G74" s="170">
        <v>84</v>
      </c>
      <c r="H74" s="171">
        <v>13.71</v>
      </c>
      <c r="I74" s="171">
        <f t="shared" si="10"/>
        <v>8061.4800000000005</v>
      </c>
      <c r="J74" s="158"/>
      <c r="K74" s="159"/>
    </row>
    <row r="75" spans="1:11" ht="60">
      <c r="A75" s="167">
        <v>12</v>
      </c>
      <c r="B75" s="168" t="s">
        <v>293</v>
      </c>
      <c r="C75" s="169" t="s">
        <v>159</v>
      </c>
      <c r="D75" s="169">
        <v>1</v>
      </c>
      <c r="E75" s="169">
        <v>0</v>
      </c>
      <c r="F75" s="170">
        <f t="shared" si="9"/>
        <v>1</v>
      </c>
      <c r="G75" s="170">
        <v>36</v>
      </c>
      <c r="H75" s="171">
        <v>39.99</v>
      </c>
      <c r="I75" s="171">
        <f t="shared" si="10"/>
        <v>1439.64</v>
      </c>
      <c r="J75" s="160"/>
      <c r="K75" s="159"/>
    </row>
    <row r="76" spans="1:11" ht="51">
      <c r="A76" s="167">
        <v>13</v>
      </c>
      <c r="B76" s="172" t="s">
        <v>264</v>
      </c>
      <c r="C76" s="169" t="s">
        <v>292</v>
      </c>
      <c r="D76" s="169">
        <v>3</v>
      </c>
      <c r="E76" s="169">
        <v>2</v>
      </c>
      <c r="F76" s="170">
        <f t="shared" si="9"/>
        <v>5</v>
      </c>
      <c r="G76" s="170">
        <v>84</v>
      </c>
      <c r="H76" s="171">
        <v>10.95</v>
      </c>
      <c r="I76" s="171">
        <f t="shared" si="10"/>
        <v>4599</v>
      </c>
      <c r="J76" s="165"/>
      <c r="K76" s="159"/>
    </row>
    <row r="77" spans="1:11">
      <c r="A77" s="170">
        <v>14</v>
      </c>
      <c r="B77" s="168" t="s">
        <v>231</v>
      </c>
      <c r="C77" s="169" t="s">
        <v>159</v>
      </c>
      <c r="D77" s="169">
        <v>2</v>
      </c>
      <c r="E77" s="169">
        <v>1</v>
      </c>
      <c r="F77" s="170">
        <f t="shared" si="9"/>
        <v>3</v>
      </c>
      <c r="G77" s="170">
        <v>16</v>
      </c>
      <c r="H77" s="171">
        <v>6.36</v>
      </c>
      <c r="I77" s="171">
        <f t="shared" si="10"/>
        <v>305.28000000000003</v>
      </c>
      <c r="J77" s="160"/>
      <c r="K77" s="159"/>
    </row>
    <row r="78" spans="1:11" ht="75">
      <c r="A78" s="167">
        <v>15</v>
      </c>
      <c r="B78" s="168" t="s">
        <v>223</v>
      </c>
      <c r="C78" s="169" t="s">
        <v>224</v>
      </c>
      <c r="D78" s="169">
        <v>3</v>
      </c>
      <c r="E78" s="169">
        <v>3</v>
      </c>
      <c r="F78" s="170">
        <f t="shared" si="9"/>
        <v>6</v>
      </c>
      <c r="G78" s="170">
        <v>84</v>
      </c>
      <c r="H78" s="171">
        <v>6.46</v>
      </c>
      <c r="I78" s="171">
        <f t="shared" si="10"/>
        <v>3255.84</v>
      </c>
      <c r="J78" s="158"/>
      <c r="K78" s="159"/>
    </row>
    <row r="79" spans="1:11" ht="45">
      <c r="A79" s="167">
        <v>16</v>
      </c>
      <c r="B79" s="207" t="s">
        <v>313</v>
      </c>
      <c r="C79" s="169" t="s">
        <v>17</v>
      </c>
      <c r="D79" s="169">
        <v>2</v>
      </c>
      <c r="E79" s="169">
        <v>1</v>
      </c>
      <c r="F79" s="170">
        <f t="shared" si="9"/>
        <v>3</v>
      </c>
      <c r="G79" s="170">
        <v>16</v>
      </c>
      <c r="H79" s="171">
        <v>75.03</v>
      </c>
      <c r="I79" s="171">
        <f t="shared" si="10"/>
        <v>3601.44</v>
      </c>
      <c r="J79" s="160"/>
      <c r="K79" s="159"/>
    </row>
    <row r="80" spans="1:11" ht="15" customHeight="1">
      <c r="A80" s="233" t="s">
        <v>310</v>
      </c>
      <c r="B80" s="234"/>
      <c r="C80" s="234"/>
      <c r="D80" s="234"/>
      <c r="E80" s="234"/>
      <c r="F80" s="234"/>
      <c r="G80" s="173"/>
      <c r="H80" s="173"/>
      <c r="I80" s="174">
        <f>SUM(I64:I79)</f>
        <v>78718.500000000015</v>
      </c>
      <c r="J80" s="158"/>
      <c r="K80" s="159"/>
    </row>
    <row r="81" spans="1:11">
      <c r="A81" s="232" t="s">
        <v>311</v>
      </c>
      <c r="B81" s="232"/>
      <c r="C81" s="232"/>
      <c r="D81" s="232"/>
      <c r="E81" s="232"/>
      <c r="F81" s="232"/>
      <c r="G81" s="175"/>
      <c r="H81" s="175"/>
      <c r="I81" s="176">
        <f>I80/12/84</f>
        <v>78.093750000000014</v>
      </c>
      <c r="J81" s="158"/>
      <c r="K81" s="159"/>
    </row>
    <row r="82" spans="1:11">
      <c r="A82"/>
      <c r="B82" s="152"/>
      <c r="F82"/>
      <c r="G82"/>
      <c r="J82" s="158"/>
      <c r="K82" s="159"/>
    </row>
    <row r="83" spans="1:11">
      <c r="A83"/>
      <c r="B83" s="152"/>
      <c r="F83"/>
      <c r="G83"/>
      <c r="J83" s="158"/>
      <c r="K83" s="159"/>
    </row>
    <row r="84" spans="1:11">
      <c r="A84" s="235" t="s">
        <v>232</v>
      </c>
      <c r="B84" s="234"/>
      <c r="C84" s="234"/>
      <c r="D84" s="234"/>
      <c r="E84" s="234"/>
      <c r="F84" s="234"/>
      <c r="G84" s="234"/>
      <c r="H84" s="234"/>
      <c r="I84" s="234"/>
      <c r="J84" s="158"/>
      <c r="K84" s="159"/>
    </row>
    <row r="85" spans="1:11" ht="60">
      <c r="A85" s="166" t="s">
        <v>10</v>
      </c>
      <c r="B85" s="166" t="s">
        <v>12</v>
      </c>
      <c r="C85" s="166" t="s">
        <v>17</v>
      </c>
      <c r="D85" s="166" t="s">
        <v>18</v>
      </c>
      <c r="E85" s="166" t="s">
        <v>19</v>
      </c>
      <c r="F85" s="166" t="s">
        <v>13</v>
      </c>
      <c r="G85" s="166" t="s">
        <v>303</v>
      </c>
      <c r="H85" s="166" t="s">
        <v>11</v>
      </c>
      <c r="I85" s="166" t="s">
        <v>14</v>
      </c>
      <c r="J85" s="158"/>
      <c r="K85" s="159"/>
    </row>
    <row r="86" spans="1:11" ht="30">
      <c r="A86" s="167">
        <v>1</v>
      </c>
      <c r="B86" s="168" t="s">
        <v>226</v>
      </c>
      <c r="C86" s="169" t="s">
        <v>16</v>
      </c>
      <c r="D86" s="169">
        <v>3</v>
      </c>
      <c r="E86" s="169">
        <v>1</v>
      </c>
      <c r="F86" s="170">
        <f t="shared" ref="F86:F96" si="11">SUM(D86:E86)</f>
        <v>4</v>
      </c>
      <c r="G86" s="170">
        <v>28</v>
      </c>
      <c r="H86" s="171">
        <v>40.17</v>
      </c>
      <c r="I86" s="171">
        <f t="shared" ref="I86:I96" si="12">F86*G86*H86</f>
        <v>4499.04</v>
      </c>
      <c r="J86" s="158"/>
      <c r="K86" s="159"/>
    </row>
    <row r="87" spans="1:11" ht="45">
      <c r="A87" s="170">
        <v>2</v>
      </c>
      <c r="B87" s="168" t="s">
        <v>243</v>
      </c>
      <c r="C87" s="169" t="s">
        <v>16</v>
      </c>
      <c r="D87" s="169">
        <v>3</v>
      </c>
      <c r="E87" s="169">
        <v>2</v>
      </c>
      <c r="F87" s="170">
        <f t="shared" si="11"/>
        <v>5</v>
      </c>
      <c r="G87" s="170">
        <v>28</v>
      </c>
      <c r="H87" s="171">
        <v>39.75</v>
      </c>
      <c r="I87" s="171">
        <f t="shared" si="12"/>
        <v>5565</v>
      </c>
      <c r="J87" s="158"/>
      <c r="K87" s="159"/>
    </row>
    <row r="88" spans="1:11">
      <c r="A88" s="167">
        <v>3</v>
      </c>
      <c r="B88" s="168" t="s">
        <v>233</v>
      </c>
      <c r="C88" s="169" t="s">
        <v>15</v>
      </c>
      <c r="D88" s="169">
        <v>3</v>
      </c>
      <c r="E88" s="169">
        <v>3</v>
      </c>
      <c r="F88" s="170">
        <f t="shared" si="11"/>
        <v>6</v>
      </c>
      <c r="G88" s="170">
        <v>28</v>
      </c>
      <c r="H88" s="171">
        <v>5.29</v>
      </c>
      <c r="I88" s="171">
        <f t="shared" si="12"/>
        <v>888.72</v>
      </c>
      <c r="J88" s="158"/>
      <c r="K88" s="159"/>
    </row>
    <row r="89" spans="1:11" ht="30">
      <c r="A89" s="167">
        <v>4</v>
      </c>
      <c r="B89" s="168" t="s">
        <v>255</v>
      </c>
      <c r="C89" s="169" t="s">
        <v>15</v>
      </c>
      <c r="D89" s="169">
        <v>2</v>
      </c>
      <c r="E89" s="169">
        <v>1</v>
      </c>
      <c r="F89" s="170">
        <f t="shared" si="11"/>
        <v>3</v>
      </c>
      <c r="G89" s="170">
        <v>28</v>
      </c>
      <c r="H89" s="171">
        <v>39.65</v>
      </c>
      <c r="I89" s="171">
        <f t="shared" si="12"/>
        <v>3330.6</v>
      </c>
      <c r="J89" s="158"/>
      <c r="K89" s="159"/>
    </row>
    <row r="90" spans="1:11" ht="45">
      <c r="A90" s="170">
        <v>5</v>
      </c>
      <c r="B90" s="168" t="s">
        <v>222</v>
      </c>
      <c r="C90" s="169" t="s">
        <v>15</v>
      </c>
      <c r="D90" s="169">
        <v>3</v>
      </c>
      <c r="E90" s="169">
        <v>2</v>
      </c>
      <c r="F90" s="170">
        <f t="shared" si="11"/>
        <v>5</v>
      </c>
      <c r="G90" s="170">
        <v>28</v>
      </c>
      <c r="H90" s="171">
        <v>7.39</v>
      </c>
      <c r="I90" s="171">
        <f t="shared" si="12"/>
        <v>1034.5999999999999</v>
      </c>
      <c r="J90" s="158"/>
      <c r="K90" s="159"/>
    </row>
    <row r="91" spans="1:11" ht="75">
      <c r="A91" s="167">
        <v>6</v>
      </c>
      <c r="B91" s="168" t="s">
        <v>300</v>
      </c>
      <c r="C91" s="169" t="s">
        <v>159</v>
      </c>
      <c r="D91" s="169">
        <v>2</v>
      </c>
      <c r="E91" s="169">
        <v>1</v>
      </c>
      <c r="F91" s="170">
        <f t="shared" si="11"/>
        <v>3</v>
      </c>
      <c r="G91" s="170">
        <v>28</v>
      </c>
      <c r="H91" s="171">
        <v>13.29</v>
      </c>
      <c r="I91" s="171">
        <f t="shared" si="12"/>
        <v>1116.3599999999999</v>
      </c>
      <c r="J91" s="160"/>
      <c r="K91" s="159"/>
    </row>
    <row r="92" spans="1:11">
      <c r="A92" s="170">
        <v>7</v>
      </c>
      <c r="B92" s="168" t="s">
        <v>231</v>
      </c>
      <c r="C92" s="169" t="s">
        <v>17</v>
      </c>
      <c r="D92" s="169">
        <v>2</v>
      </c>
      <c r="E92" s="169">
        <v>2</v>
      </c>
      <c r="F92" s="170">
        <f t="shared" si="11"/>
        <v>4</v>
      </c>
      <c r="G92" s="170">
        <v>28</v>
      </c>
      <c r="H92" s="171">
        <v>6.36</v>
      </c>
      <c r="I92" s="171">
        <f t="shared" si="12"/>
        <v>712.32</v>
      </c>
      <c r="J92" s="158"/>
      <c r="K92" s="159"/>
    </row>
    <row r="93" spans="1:11" ht="60">
      <c r="A93" s="167">
        <v>8</v>
      </c>
      <c r="B93" s="168" t="s">
        <v>263</v>
      </c>
      <c r="C93" s="169" t="s">
        <v>17</v>
      </c>
      <c r="D93" s="169">
        <v>1</v>
      </c>
      <c r="E93" s="169">
        <v>1</v>
      </c>
      <c r="F93" s="170">
        <f t="shared" si="11"/>
        <v>2</v>
      </c>
      <c r="G93" s="170">
        <v>6</v>
      </c>
      <c r="H93" s="171">
        <v>39.99</v>
      </c>
      <c r="I93" s="171">
        <f t="shared" si="12"/>
        <v>479.88</v>
      </c>
      <c r="J93" s="160"/>
      <c r="K93" s="159"/>
    </row>
    <row r="94" spans="1:11">
      <c r="A94" s="167">
        <v>9</v>
      </c>
      <c r="B94" s="168" t="s">
        <v>252</v>
      </c>
      <c r="C94" s="169" t="s">
        <v>17</v>
      </c>
      <c r="D94" s="169">
        <v>2</v>
      </c>
      <c r="E94" s="169">
        <v>2</v>
      </c>
      <c r="F94" s="170">
        <f t="shared" si="11"/>
        <v>4</v>
      </c>
      <c r="G94" s="170">
        <v>28</v>
      </c>
      <c r="H94" s="171">
        <v>30.68</v>
      </c>
      <c r="I94" s="171">
        <f t="shared" si="12"/>
        <v>3436.16</v>
      </c>
      <c r="J94" s="165"/>
      <c r="K94" s="159"/>
    </row>
    <row r="95" spans="1:11" ht="120">
      <c r="A95" s="170">
        <v>10</v>
      </c>
      <c r="B95" s="168" t="s">
        <v>261</v>
      </c>
      <c r="C95" s="169" t="s">
        <v>17</v>
      </c>
      <c r="D95" s="169">
        <v>1</v>
      </c>
      <c r="E95" s="169">
        <v>1</v>
      </c>
      <c r="F95" s="170">
        <f t="shared" si="11"/>
        <v>2</v>
      </c>
      <c r="G95" s="170">
        <v>6</v>
      </c>
      <c r="H95" s="171">
        <v>95.37</v>
      </c>
      <c r="I95" s="171">
        <f t="shared" si="12"/>
        <v>1144.44</v>
      </c>
      <c r="J95" s="160"/>
      <c r="K95" s="159"/>
    </row>
    <row r="96" spans="1:11" ht="75">
      <c r="A96" s="167">
        <v>11</v>
      </c>
      <c r="B96" s="168" t="s">
        <v>223</v>
      </c>
      <c r="C96" s="169" t="s">
        <v>224</v>
      </c>
      <c r="D96" s="169">
        <v>3</v>
      </c>
      <c r="E96" s="169">
        <v>3</v>
      </c>
      <c r="F96" s="170">
        <f t="shared" si="11"/>
        <v>6</v>
      </c>
      <c r="G96" s="170">
        <v>28</v>
      </c>
      <c r="H96" s="171">
        <v>6.46</v>
      </c>
      <c r="I96" s="171">
        <f t="shared" si="12"/>
        <v>1085.28</v>
      </c>
      <c r="J96" s="158"/>
      <c r="K96" s="159"/>
    </row>
    <row r="97" spans="1:11" ht="15" customHeight="1">
      <c r="A97" s="233" t="s">
        <v>310</v>
      </c>
      <c r="B97" s="234"/>
      <c r="C97" s="234"/>
      <c r="D97" s="234"/>
      <c r="E97" s="234"/>
      <c r="F97" s="234"/>
      <c r="G97" s="173"/>
      <c r="H97" s="173"/>
      <c r="I97" s="174">
        <f>SUM(I86:I96)</f>
        <v>23292.399999999998</v>
      </c>
      <c r="J97" s="158"/>
      <c r="K97" s="159"/>
    </row>
    <row r="98" spans="1:11">
      <c r="A98" s="232" t="s">
        <v>311</v>
      </c>
      <c r="B98" s="232"/>
      <c r="C98" s="232"/>
      <c r="D98" s="232"/>
      <c r="E98" s="232"/>
      <c r="F98" s="232"/>
      <c r="G98" s="175"/>
      <c r="H98" s="175"/>
      <c r="I98" s="176">
        <f>I97/12/28</f>
        <v>69.322619047619042</v>
      </c>
      <c r="J98" s="158"/>
      <c r="K98" s="159"/>
    </row>
    <row r="99" spans="1:11">
      <c r="A99"/>
      <c r="B99" s="152"/>
      <c r="F99"/>
      <c r="G99"/>
      <c r="J99" s="158"/>
      <c r="K99" s="159"/>
    </row>
    <row r="100" spans="1:11">
      <c r="A100"/>
      <c r="B100" s="152"/>
      <c r="F100"/>
      <c r="G100"/>
      <c r="J100" s="158"/>
      <c r="K100" s="159"/>
    </row>
    <row r="101" spans="1:11">
      <c r="A101" s="235" t="s">
        <v>301</v>
      </c>
      <c r="B101" s="234"/>
      <c r="C101" s="234"/>
      <c r="D101" s="234"/>
      <c r="E101" s="234"/>
      <c r="F101" s="234"/>
      <c r="G101" s="234"/>
      <c r="H101" s="234"/>
      <c r="I101" s="234"/>
      <c r="J101" s="164"/>
      <c r="K101" s="159"/>
    </row>
    <row r="102" spans="1:11" ht="60">
      <c r="A102" s="166" t="s">
        <v>10</v>
      </c>
      <c r="B102" s="166" t="s">
        <v>12</v>
      </c>
      <c r="C102" s="166" t="s">
        <v>17</v>
      </c>
      <c r="D102" s="166" t="s">
        <v>18</v>
      </c>
      <c r="E102" s="166" t="s">
        <v>19</v>
      </c>
      <c r="F102" s="166" t="s">
        <v>13</v>
      </c>
      <c r="G102" s="166" t="s">
        <v>303</v>
      </c>
      <c r="H102" s="166" t="s">
        <v>11</v>
      </c>
      <c r="I102" s="166" t="s">
        <v>14</v>
      </c>
      <c r="J102" s="158"/>
      <c r="K102" s="159"/>
    </row>
    <row r="103" spans="1:11">
      <c r="A103" s="167">
        <v>1</v>
      </c>
      <c r="B103" s="168" t="s">
        <v>265</v>
      </c>
      <c r="C103" s="169" t="s">
        <v>16</v>
      </c>
      <c r="D103" s="169">
        <v>3</v>
      </c>
      <c r="E103" s="169">
        <v>1</v>
      </c>
      <c r="F103" s="170">
        <f t="shared" ref="F103:F115" si="13">SUM(D103:E103)</f>
        <v>4</v>
      </c>
      <c r="G103" s="170">
        <v>1</v>
      </c>
      <c r="H103" s="171">
        <v>48.58</v>
      </c>
      <c r="I103" s="171">
        <f t="shared" ref="I103:I115" si="14">H103*F103</f>
        <v>194.32</v>
      </c>
      <c r="J103" s="158"/>
      <c r="K103" s="159"/>
    </row>
    <row r="104" spans="1:11" ht="60">
      <c r="A104" s="170">
        <v>2</v>
      </c>
      <c r="B104" s="168" t="s">
        <v>266</v>
      </c>
      <c r="C104" s="169" t="s">
        <v>16</v>
      </c>
      <c r="D104" s="169">
        <v>3</v>
      </c>
      <c r="E104" s="169">
        <v>2</v>
      </c>
      <c r="F104" s="170">
        <f t="shared" si="13"/>
        <v>5</v>
      </c>
      <c r="G104" s="170">
        <v>1</v>
      </c>
      <c r="H104" s="171">
        <v>39.75</v>
      </c>
      <c r="I104" s="171">
        <f t="shared" si="14"/>
        <v>198.75</v>
      </c>
      <c r="J104" s="158"/>
      <c r="K104" s="159"/>
    </row>
    <row r="105" spans="1:11" ht="45">
      <c r="A105" s="167">
        <v>3</v>
      </c>
      <c r="B105" s="168" t="s">
        <v>222</v>
      </c>
      <c r="C105" s="169" t="s">
        <v>15</v>
      </c>
      <c r="D105" s="169">
        <v>3</v>
      </c>
      <c r="E105" s="169">
        <v>2</v>
      </c>
      <c r="F105" s="170">
        <f t="shared" si="13"/>
        <v>5</v>
      </c>
      <c r="G105" s="170">
        <v>1</v>
      </c>
      <c r="H105" s="171">
        <v>7.39</v>
      </c>
      <c r="I105" s="171">
        <f t="shared" si="14"/>
        <v>36.949999999999996</v>
      </c>
      <c r="J105" s="158"/>
      <c r="K105" s="159"/>
    </row>
    <row r="106" spans="1:11" ht="45">
      <c r="A106" s="167">
        <v>4</v>
      </c>
      <c r="B106" s="168" t="s">
        <v>268</v>
      </c>
      <c r="C106" s="169" t="s">
        <v>17</v>
      </c>
      <c r="D106" s="169">
        <v>1</v>
      </c>
      <c r="E106" s="169">
        <v>1</v>
      </c>
      <c r="F106" s="170">
        <f t="shared" si="13"/>
        <v>2</v>
      </c>
      <c r="G106" s="170">
        <v>1</v>
      </c>
      <c r="H106" s="171">
        <v>32.39</v>
      </c>
      <c r="I106" s="171">
        <f t="shared" si="14"/>
        <v>64.78</v>
      </c>
      <c r="J106" s="158"/>
      <c r="K106" s="159"/>
    </row>
    <row r="107" spans="1:11" ht="135">
      <c r="A107" s="170">
        <v>5</v>
      </c>
      <c r="B107" s="168" t="s">
        <v>267</v>
      </c>
      <c r="C107" s="169" t="s">
        <v>15</v>
      </c>
      <c r="D107" s="169">
        <v>1</v>
      </c>
      <c r="E107" s="169">
        <v>1</v>
      </c>
      <c r="F107" s="170">
        <f t="shared" si="13"/>
        <v>2</v>
      </c>
      <c r="G107" s="170">
        <v>1</v>
      </c>
      <c r="H107" s="171">
        <v>42.9</v>
      </c>
      <c r="I107" s="171">
        <f t="shared" si="14"/>
        <v>85.8</v>
      </c>
      <c r="J107" s="158"/>
      <c r="K107" s="159"/>
    </row>
    <row r="108" spans="1:11" ht="45">
      <c r="A108" s="167">
        <v>6</v>
      </c>
      <c r="B108" s="168" t="s">
        <v>269</v>
      </c>
      <c r="C108" s="169" t="s">
        <v>15</v>
      </c>
      <c r="D108" s="169">
        <v>1</v>
      </c>
      <c r="E108" s="169">
        <v>1</v>
      </c>
      <c r="F108" s="170">
        <f t="shared" si="13"/>
        <v>2</v>
      </c>
      <c r="G108" s="170">
        <v>1</v>
      </c>
      <c r="H108" s="171">
        <v>14.7</v>
      </c>
      <c r="I108" s="171">
        <f t="shared" si="14"/>
        <v>29.4</v>
      </c>
      <c r="J108" s="158"/>
      <c r="K108" s="159"/>
    </row>
    <row r="109" spans="1:11" ht="90">
      <c r="A109" s="167">
        <v>7</v>
      </c>
      <c r="B109" s="168" t="s">
        <v>270</v>
      </c>
      <c r="C109" s="169" t="s">
        <v>159</v>
      </c>
      <c r="D109" s="169">
        <v>5</v>
      </c>
      <c r="E109" s="169">
        <v>4</v>
      </c>
      <c r="F109" s="170">
        <f t="shared" si="13"/>
        <v>9</v>
      </c>
      <c r="G109" s="170">
        <v>1</v>
      </c>
      <c r="H109" s="171">
        <v>4.8</v>
      </c>
      <c r="I109" s="171">
        <f t="shared" si="14"/>
        <v>43.199999999999996</v>
      </c>
      <c r="J109" s="158"/>
      <c r="K109" s="159"/>
    </row>
    <row r="110" spans="1:11">
      <c r="A110" s="170">
        <v>8</v>
      </c>
      <c r="B110" s="168" t="s">
        <v>271</v>
      </c>
      <c r="C110" s="169" t="s">
        <v>294</v>
      </c>
      <c r="D110" s="169">
        <v>2</v>
      </c>
      <c r="E110" s="169">
        <v>2</v>
      </c>
      <c r="F110" s="170">
        <f t="shared" si="13"/>
        <v>4</v>
      </c>
      <c r="G110" s="170">
        <v>1</v>
      </c>
      <c r="H110" s="171">
        <v>6.36</v>
      </c>
      <c r="I110" s="171">
        <f t="shared" si="14"/>
        <v>25.44</v>
      </c>
      <c r="J110" s="158"/>
      <c r="K110" s="159"/>
    </row>
    <row r="111" spans="1:11">
      <c r="A111" s="167">
        <v>9</v>
      </c>
      <c r="B111" s="168" t="s">
        <v>272</v>
      </c>
      <c r="C111" s="169" t="s">
        <v>294</v>
      </c>
      <c r="D111" s="169">
        <v>1</v>
      </c>
      <c r="E111" s="169">
        <v>1</v>
      </c>
      <c r="F111" s="170">
        <f t="shared" si="13"/>
        <v>2</v>
      </c>
      <c r="G111" s="170">
        <v>1</v>
      </c>
      <c r="H111" s="171">
        <v>5.93</v>
      </c>
      <c r="I111" s="171">
        <f t="shared" si="14"/>
        <v>11.86</v>
      </c>
      <c r="J111" s="158"/>
      <c r="K111" s="159"/>
    </row>
    <row r="112" spans="1:11" ht="30">
      <c r="A112" s="167">
        <v>10</v>
      </c>
      <c r="B112" s="168" t="s">
        <v>273</v>
      </c>
      <c r="C112" s="169" t="s">
        <v>159</v>
      </c>
      <c r="D112" s="169">
        <v>1</v>
      </c>
      <c r="E112" s="169">
        <v>1</v>
      </c>
      <c r="F112" s="170">
        <f t="shared" si="13"/>
        <v>2</v>
      </c>
      <c r="G112" s="170">
        <v>1</v>
      </c>
      <c r="H112" s="171">
        <v>30.68</v>
      </c>
      <c r="I112" s="171">
        <f t="shared" si="14"/>
        <v>61.36</v>
      </c>
      <c r="J112" s="158"/>
      <c r="K112" s="159"/>
    </row>
    <row r="113" spans="1:11" ht="30">
      <c r="A113" s="170">
        <v>11</v>
      </c>
      <c r="B113" s="168" t="s">
        <v>274</v>
      </c>
      <c r="C113" s="169" t="s">
        <v>159</v>
      </c>
      <c r="D113" s="169">
        <v>1</v>
      </c>
      <c r="E113" s="169">
        <v>0</v>
      </c>
      <c r="F113" s="170">
        <f t="shared" si="13"/>
        <v>1</v>
      </c>
      <c r="G113" s="170">
        <v>1</v>
      </c>
      <c r="H113" s="171">
        <v>144</v>
      </c>
      <c r="I113" s="171">
        <f t="shared" si="14"/>
        <v>144</v>
      </c>
      <c r="J113" s="160"/>
      <c r="K113" s="163"/>
    </row>
    <row r="114" spans="1:11" ht="30">
      <c r="A114" s="167">
        <v>12</v>
      </c>
      <c r="B114" s="168" t="s">
        <v>302</v>
      </c>
      <c r="C114" s="169" t="s">
        <v>159</v>
      </c>
      <c r="D114" s="169">
        <v>1</v>
      </c>
      <c r="E114" s="169">
        <v>0</v>
      </c>
      <c r="F114" s="170">
        <f t="shared" si="13"/>
        <v>1</v>
      </c>
      <c r="G114" s="170">
        <v>1</v>
      </c>
      <c r="H114" s="171">
        <v>82.39</v>
      </c>
      <c r="I114" s="171">
        <f t="shared" si="14"/>
        <v>82.39</v>
      </c>
      <c r="J114" s="160"/>
      <c r="K114" s="164"/>
    </row>
    <row r="115" spans="1:11" ht="75">
      <c r="A115" s="167">
        <v>13</v>
      </c>
      <c r="B115" s="168" t="s">
        <v>223</v>
      </c>
      <c r="C115" s="169" t="s">
        <v>224</v>
      </c>
      <c r="D115" s="169">
        <v>2</v>
      </c>
      <c r="E115" s="169">
        <v>2</v>
      </c>
      <c r="F115" s="170">
        <f t="shared" si="13"/>
        <v>4</v>
      </c>
      <c r="G115" s="170">
        <v>1</v>
      </c>
      <c r="H115" s="171">
        <v>6.46</v>
      </c>
      <c r="I115" s="171">
        <f t="shared" si="14"/>
        <v>25.84</v>
      </c>
      <c r="J115" s="158"/>
      <c r="K115" s="159"/>
    </row>
    <row r="116" spans="1:11" ht="15" customHeight="1">
      <c r="A116" s="233" t="s">
        <v>310</v>
      </c>
      <c r="B116" s="234"/>
      <c r="C116" s="234"/>
      <c r="D116" s="234"/>
      <c r="E116" s="234"/>
      <c r="F116" s="234"/>
      <c r="G116" s="173"/>
      <c r="H116" s="173"/>
      <c r="I116" s="174">
        <f>SUM(I103:I115)</f>
        <v>1004.09</v>
      </c>
      <c r="J116" s="158"/>
      <c r="K116" s="159"/>
    </row>
    <row r="117" spans="1:11">
      <c r="A117" s="232" t="s">
        <v>311</v>
      </c>
      <c r="B117" s="232"/>
      <c r="C117" s="232"/>
      <c r="D117" s="232"/>
      <c r="E117" s="232"/>
      <c r="F117" s="232"/>
      <c r="G117" s="175"/>
      <c r="H117" s="175"/>
      <c r="I117" s="176">
        <f>I116/12</f>
        <v>83.674166666666665</v>
      </c>
      <c r="J117" s="158"/>
      <c r="K117" s="159"/>
    </row>
    <row r="118" spans="1:11">
      <c r="A118"/>
      <c r="B118" s="152"/>
      <c r="F118"/>
      <c r="G118"/>
      <c r="J118" s="158"/>
      <c r="K118" s="159"/>
    </row>
    <row r="119" spans="1:11">
      <c r="A119" s="153"/>
      <c r="B119" s="152"/>
      <c r="F119" s="154"/>
      <c r="G119" s="154"/>
      <c r="J119" s="158"/>
      <c r="K119" s="159"/>
    </row>
    <row r="120" spans="1:11">
      <c r="A120" s="236" t="s">
        <v>284</v>
      </c>
      <c r="B120" s="237"/>
      <c r="C120" s="237"/>
      <c r="D120" s="237"/>
      <c r="E120" s="237"/>
      <c r="F120" s="237"/>
      <c r="G120" s="237"/>
      <c r="H120" s="237"/>
      <c r="I120" s="238"/>
      <c r="J120" s="158"/>
      <c r="K120" s="159"/>
    </row>
    <row r="121" spans="1:11" ht="60">
      <c r="A121" s="166" t="s">
        <v>10</v>
      </c>
      <c r="B121" s="166" t="s">
        <v>12</v>
      </c>
      <c r="C121" s="166" t="s">
        <v>17</v>
      </c>
      <c r="D121" s="166" t="s">
        <v>18</v>
      </c>
      <c r="E121" s="166" t="s">
        <v>19</v>
      </c>
      <c r="F121" s="166" t="s">
        <v>13</v>
      </c>
      <c r="G121" s="166" t="s">
        <v>303</v>
      </c>
      <c r="H121" s="166" t="s">
        <v>11</v>
      </c>
      <c r="I121" s="166" t="s">
        <v>14</v>
      </c>
      <c r="J121" s="158"/>
      <c r="K121" s="159"/>
    </row>
    <row r="122" spans="1:11" ht="30">
      <c r="A122" s="167">
        <v>1</v>
      </c>
      <c r="B122" s="168" t="s">
        <v>234</v>
      </c>
      <c r="C122" s="169" t="s">
        <v>16</v>
      </c>
      <c r="D122" s="169">
        <v>3</v>
      </c>
      <c r="E122" s="169">
        <v>1</v>
      </c>
      <c r="F122" s="170">
        <f t="shared" ref="F122:F134" si="15">SUM(D122:E122)</f>
        <v>4</v>
      </c>
      <c r="G122" s="170">
        <v>1</v>
      </c>
      <c r="H122" s="171">
        <v>40.17</v>
      </c>
      <c r="I122" s="171">
        <f t="shared" ref="I122:I134" si="16">H122*F122</f>
        <v>160.68</v>
      </c>
      <c r="J122" s="158"/>
      <c r="K122" s="159"/>
    </row>
    <row r="123" spans="1:11" ht="60">
      <c r="A123" s="170">
        <v>2</v>
      </c>
      <c r="B123" s="168" t="s">
        <v>266</v>
      </c>
      <c r="C123" s="169" t="s">
        <v>16</v>
      </c>
      <c r="D123" s="169">
        <v>3</v>
      </c>
      <c r="E123" s="169">
        <v>2</v>
      </c>
      <c r="F123" s="170">
        <f t="shared" si="15"/>
        <v>5</v>
      </c>
      <c r="G123" s="170">
        <v>1</v>
      </c>
      <c r="H123" s="171">
        <v>39.75</v>
      </c>
      <c r="I123" s="171">
        <f t="shared" si="16"/>
        <v>198.75</v>
      </c>
      <c r="J123" s="158"/>
      <c r="K123" s="159"/>
    </row>
    <row r="124" spans="1:11" ht="45">
      <c r="A124" s="167">
        <v>3</v>
      </c>
      <c r="B124" s="168" t="s">
        <v>222</v>
      </c>
      <c r="C124" s="169" t="s">
        <v>15</v>
      </c>
      <c r="D124" s="169">
        <v>3</v>
      </c>
      <c r="E124" s="169">
        <v>2</v>
      </c>
      <c r="F124" s="170">
        <f t="shared" si="15"/>
        <v>5</v>
      </c>
      <c r="G124" s="170">
        <v>1</v>
      </c>
      <c r="H124" s="171">
        <v>7.39</v>
      </c>
      <c r="I124" s="171">
        <f t="shared" si="16"/>
        <v>36.949999999999996</v>
      </c>
      <c r="J124" s="158"/>
      <c r="K124" s="159"/>
    </row>
    <row r="125" spans="1:11" ht="75">
      <c r="A125" s="167">
        <v>4</v>
      </c>
      <c r="B125" s="168" t="s">
        <v>223</v>
      </c>
      <c r="C125" s="169" t="s">
        <v>224</v>
      </c>
      <c r="D125" s="169">
        <v>2</v>
      </c>
      <c r="E125" s="169">
        <v>2</v>
      </c>
      <c r="F125" s="170">
        <f t="shared" si="15"/>
        <v>4</v>
      </c>
      <c r="G125" s="170">
        <v>1</v>
      </c>
      <c r="H125" s="171">
        <v>6.46</v>
      </c>
      <c r="I125" s="171">
        <f t="shared" si="16"/>
        <v>25.84</v>
      </c>
      <c r="J125" s="158"/>
      <c r="K125" s="159"/>
    </row>
    <row r="126" spans="1:11" ht="135">
      <c r="A126" s="170">
        <v>5</v>
      </c>
      <c r="B126" s="168" t="s">
        <v>275</v>
      </c>
      <c r="C126" s="169" t="s">
        <v>15</v>
      </c>
      <c r="D126" s="169">
        <v>1</v>
      </c>
      <c r="E126" s="169">
        <v>1</v>
      </c>
      <c r="F126" s="170">
        <f t="shared" si="15"/>
        <v>2</v>
      </c>
      <c r="G126" s="170">
        <v>1</v>
      </c>
      <c r="H126" s="171">
        <v>42.9</v>
      </c>
      <c r="I126" s="171">
        <f t="shared" si="16"/>
        <v>85.8</v>
      </c>
      <c r="J126" s="158"/>
      <c r="K126" s="159"/>
    </row>
    <row r="127" spans="1:11" ht="45">
      <c r="A127" s="167">
        <v>6</v>
      </c>
      <c r="B127" s="168" t="s">
        <v>268</v>
      </c>
      <c r="C127" s="169" t="s">
        <v>15</v>
      </c>
      <c r="D127" s="169">
        <v>1</v>
      </c>
      <c r="E127" s="169">
        <v>1</v>
      </c>
      <c r="F127" s="170">
        <f t="shared" si="15"/>
        <v>2</v>
      </c>
      <c r="G127" s="170">
        <v>1</v>
      </c>
      <c r="H127" s="171">
        <v>32.39</v>
      </c>
      <c r="I127" s="171">
        <f t="shared" si="16"/>
        <v>64.78</v>
      </c>
      <c r="J127" s="158"/>
      <c r="K127" s="159"/>
    </row>
    <row r="128" spans="1:11" ht="45">
      <c r="A128" s="167">
        <v>7</v>
      </c>
      <c r="B128" s="168" t="s">
        <v>269</v>
      </c>
      <c r="C128" s="169" t="s">
        <v>15</v>
      </c>
      <c r="D128" s="169">
        <v>1</v>
      </c>
      <c r="E128" s="169">
        <v>1</v>
      </c>
      <c r="F128" s="170">
        <f t="shared" si="15"/>
        <v>2</v>
      </c>
      <c r="G128" s="170">
        <v>1</v>
      </c>
      <c r="H128" s="171">
        <v>14.7</v>
      </c>
      <c r="I128" s="171">
        <f t="shared" si="16"/>
        <v>29.4</v>
      </c>
      <c r="J128" s="158"/>
      <c r="K128" s="159"/>
    </row>
    <row r="129" spans="1:11" ht="90">
      <c r="A129" s="170">
        <v>8</v>
      </c>
      <c r="B129" s="168" t="s">
        <v>270</v>
      </c>
      <c r="C129" s="169" t="s">
        <v>15</v>
      </c>
      <c r="D129" s="169">
        <v>5</v>
      </c>
      <c r="E129" s="169">
        <v>4</v>
      </c>
      <c r="F129" s="170">
        <f t="shared" si="15"/>
        <v>9</v>
      </c>
      <c r="G129" s="170">
        <v>1</v>
      </c>
      <c r="H129" s="171">
        <v>4.8</v>
      </c>
      <c r="I129" s="171">
        <f t="shared" si="16"/>
        <v>43.199999999999996</v>
      </c>
      <c r="J129" s="158"/>
      <c r="K129" s="159"/>
    </row>
    <row r="130" spans="1:11">
      <c r="A130" s="167">
        <v>9</v>
      </c>
      <c r="B130" s="168" t="s">
        <v>271</v>
      </c>
      <c r="C130" s="169" t="s">
        <v>17</v>
      </c>
      <c r="D130" s="169">
        <v>2</v>
      </c>
      <c r="E130" s="169">
        <v>1</v>
      </c>
      <c r="F130" s="170">
        <f t="shared" si="15"/>
        <v>3</v>
      </c>
      <c r="G130" s="170">
        <v>1</v>
      </c>
      <c r="H130" s="171">
        <v>6.36</v>
      </c>
      <c r="I130" s="171">
        <f t="shared" si="16"/>
        <v>19.080000000000002</v>
      </c>
      <c r="J130" s="158"/>
      <c r="K130" s="159"/>
    </row>
    <row r="131" spans="1:11">
      <c r="A131" s="167">
        <v>10</v>
      </c>
      <c r="B131" s="168" t="s">
        <v>272</v>
      </c>
      <c r="C131" s="169" t="s">
        <v>17</v>
      </c>
      <c r="D131" s="169">
        <v>1</v>
      </c>
      <c r="E131" s="169">
        <v>1</v>
      </c>
      <c r="F131" s="170">
        <f t="shared" si="15"/>
        <v>2</v>
      </c>
      <c r="G131" s="170">
        <v>1</v>
      </c>
      <c r="H131" s="171">
        <v>5.93</v>
      </c>
      <c r="I131" s="171">
        <f t="shared" si="16"/>
        <v>11.86</v>
      </c>
      <c r="J131" s="158"/>
      <c r="K131" s="159"/>
    </row>
    <row r="132" spans="1:11" ht="30">
      <c r="A132" s="170">
        <v>11</v>
      </c>
      <c r="B132" s="168" t="s">
        <v>273</v>
      </c>
      <c r="C132" s="169" t="s">
        <v>17</v>
      </c>
      <c r="D132" s="169">
        <v>1</v>
      </c>
      <c r="E132" s="169">
        <v>1</v>
      </c>
      <c r="F132" s="170">
        <f t="shared" si="15"/>
        <v>2</v>
      </c>
      <c r="G132" s="170">
        <v>1</v>
      </c>
      <c r="H132" s="171">
        <v>30.68</v>
      </c>
      <c r="I132" s="171">
        <f t="shared" si="16"/>
        <v>61.36</v>
      </c>
      <c r="J132" s="158"/>
      <c r="K132" s="159"/>
    </row>
    <row r="133" spans="1:11" ht="30">
      <c r="A133" s="167">
        <v>12</v>
      </c>
      <c r="B133" s="168" t="s">
        <v>274</v>
      </c>
      <c r="C133" s="169" t="s">
        <v>17</v>
      </c>
      <c r="D133" s="169">
        <v>1</v>
      </c>
      <c r="E133" s="169">
        <v>0</v>
      </c>
      <c r="F133" s="170">
        <f t="shared" si="15"/>
        <v>1</v>
      </c>
      <c r="G133" s="170">
        <v>1</v>
      </c>
      <c r="H133" s="171">
        <v>144</v>
      </c>
      <c r="I133" s="171">
        <f t="shared" si="16"/>
        <v>144</v>
      </c>
      <c r="J133" s="160"/>
      <c r="K133" s="163"/>
    </row>
    <row r="134" spans="1:11" ht="30">
      <c r="A134" s="167">
        <v>13</v>
      </c>
      <c r="B134" s="168" t="s">
        <v>302</v>
      </c>
      <c r="C134" s="169" t="s">
        <v>17</v>
      </c>
      <c r="D134" s="169">
        <v>1</v>
      </c>
      <c r="E134" s="169">
        <v>0</v>
      </c>
      <c r="F134" s="170">
        <f t="shared" si="15"/>
        <v>1</v>
      </c>
      <c r="G134" s="170">
        <v>1</v>
      </c>
      <c r="H134" s="171">
        <v>82.39</v>
      </c>
      <c r="I134" s="171">
        <f t="shared" si="16"/>
        <v>82.39</v>
      </c>
      <c r="J134" s="160"/>
      <c r="K134" s="164"/>
    </row>
    <row r="135" spans="1:11" ht="15" customHeight="1">
      <c r="A135" s="233" t="s">
        <v>310</v>
      </c>
      <c r="B135" s="234"/>
      <c r="C135" s="234"/>
      <c r="D135" s="234"/>
      <c r="E135" s="234"/>
      <c r="F135" s="234"/>
      <c r="G135" s="173"/>
      <c r="H135" s="173"/>
      <c r="I135" s="174">
        <f>SUM(I122:I134)</f>
        <v>964.09</v>
      </c>
      <c r="J135" s="158"/>
      <c r="K135" s="159"/>
    </row>
    <row r="136" spans="1:11">
      <c r="A136" s="232" t="s">
        <v>311</v>
      </c>
      <c r="B136" s="232"/>
      <c r="C136" s="232"/>
      <c r="D136" s="232"/>
      <c r="E136" s="232"/>
      <c r="F136" s="232"/>
      <c r="G136" s="175"/>
      <c r="H136" s="175"/>
      <c r="I136" s="176">
        <f>I135/12</f>
        <v>80.340833333333336</v>
      </c>
      <c r="J136" s="158"/>
      <c r="K136" s="159"/>
    </row>
    <row r="137" spans="1:11">
      <c r="A137" s="153"/>
      <c r="B137" s="152"/>
      <c r="F137" s="154"/>
      <c r="G137" s="154"/>
      <c r="J137" s="158"/>
      <c r="K137" s="159"/>
    </row>
    <row r="138" spans="1:11">
      <c r="A138" s="235" t="s">
        <v>278</v>
      </c>
      <c r="B138" s="234"/>
      <c r="C138" s="234"/>
      <c r="D138" s="234"/>
      <c r="E138" s="234"/>
      <c r="F138" s="234"/>
      <c r="G138" s="234"/>
      <c r="H138" s="234"/>
      <c r="I138" s="234"/>
      <c r="J138" s="158"/>
      <c r="K138" s="159"/>
    </row>
    <row r="139" spans="1:11" ht="60">
      <c r="A139" s="166" t="s">
        <v>10</v>
      </c>
      <c r="B139" s="166" t="s">
        <v>12</v>
      </c>
      <c r="C139" s="166" t="s">
        <v>17</v>
      </c>
      <c r="D139" s="166" t="s">
        <v>18</v>
      </c>
      <c r="E139" s="166" t="s">
        <v>19</v>
      </c>
      <c r="F139" s="166" t="s">
        <v>13</v>
      </c>
      <c r="G139" s="166" t="s">
        <v>303</v>
      </c>
      <c r="H139" s="166" t="s">
        <v>11</v>
      </c>
      <c r="I139" s="166" t="s">
        <v>14</v>
      </c>
      <c r="J139" s="158"/>
      <c r="K139" s="159"/>
    </row>
    <row r="140" spans="1:11" ht="30">
      <c r="A140" s="167">
        <v>1</v>
      </c>
      <c r="B140" s="168" t="s">
        <v>234</v>
      </c>
      <c r="C140" s="169" t="s">
        <v>16</v>
      </c>
      <c r="D140" s="169">
        <v>3</v>
      </c>
      <c r="E140" s="169">
        <v>1</v>
      </c>
      <c r="F140" s="170">
        <f t="shared" ref="F140:F156" si="17">SUM(D140:E140)</f>
        <v>4</v>
      </c>
      <c r="G140" s="170">
        <v>1</v>
      </c>
      <c r="H140" s="171">
        <v>40.17</v>
      </c>
      <c r="I140" s="171">
        <f t="shared" ref="I140:I156" si="18">H140*F140</f>
        <v>160.68</v>
      </c>
      <c r="J140" s="158"/>
      <c r="K140" s="159"/>
    </row>
    <row r="141" spans="1:11" ht="45">
      <c r="A141" s="170">
        <v>2</v>
      </c>
      <c r="B141" s="168" t="s">
        <v>279</v>
      </c>
      <c r="C141" s="169" t="s">
        <v>16</v>
      </c>
      <c r="D141" s="169">
        <v>3</v>
      </c>
      <c r="E141" s="169">
        <v>2</v>
      </c>
      <c r="F141" s="170">
        <f t="shared" si="17"/>
        <v>5</v>
      </c>
      <c r="G141" s="170">
        <v>1</v>
      </c>
      <c r="H141" s="171">
        <v>39.75</v>
      </c>
      <c r="I141" s="171">
        <f t="shared" si="18"/>
        <v>198.75</v>
      </c>
      <c r="J141" s="158"/>
      <c r="K141" s="159"/>
    </row>
    <row r="142" spans="1:11" ht="45">
      <c r="A142" s="167">
        <v>3</v>
      </c>
      <c r="B142" s="168" t="s">
        <v>222</v>
      </c>
      <c r="C142" s="169" t="s">
        <v>15</v>
      </c>
      <c r="D142" s="169">
        <v>3</v>
      </c>
      <c r="E142" s="169">
        <v>2</v>
      </c>
      <c r="F142" s="170">
        <f t="shared" si="17"/>
        <v>5</v>
      </c>
      <c r="G142" s="170">
        <v>1</v>
      </c>
      <c r="H142" s="171">
        <v>7.39</v>
      </c>
      <c r="I142" s="171">
        <f t="shared" si="18"/>
        <v>36.949999999999996</v>
      </c>
      <c r="J142" s="158"/>
      <c r="K142" s="159"/>
    </row>
    <row r="143" spans="1:11" ht="75">
      <c r="A143" s="167">
        <v>4</v>
      </c>
      <c r="B143" s="168" t="s">
        <v>223</v>
      </c>
      <c r="C143" s="169" t="s">
        <v>224</v>
      </c>
      <c r="D143" s="169">
        <v>2</v>
      </c>
      <c r="E143" s="169">
        <v>2</v>
      </c>
      <c r="F143" s="170">
        <f t="shared" si="17"/>
        <v>4</v>
      </c>
      <c r="G143" s="170">
        <v>1</v>
      </c>
      <c r="H143" s="171">
        <v>6.46</v>
      </c>
      <c r="I143" s="171">
        <f t="shared" si="18"/>
        <v>25.84</v>
      </c>
      <c r="J143" s="158"/>
      <c r="K143" s="159"/>
    </row>
    <row r="144" spans="1:11" ht="135">
      <c r="A144" s="167">
        <v>5</v>
      </c>
      <c r="B144" s="168" t="s">
        <v>275</v>
      </c>
      <c r="C144" s="169" t="s">
        <v>15</v>
      </c>
      <c r="D144" s="169">
        <v>1</v>
      </c>
      <c r="E144" s="169">
        <v>1</v>
      </c>
      <c r="F144" s="170">
        <f t="shared" si="17"/>
        <v>2</v>
      </c>
      <c r="G144" s="170">
        <v>1</v>
      </c>
      <c r="H144" s="171">
        <v>42.9</v>
      </c>
      <c r="I144" s="171">
        <f t="shared" si="18"/>
        <v>85.8</v>
      </c>
      <c r="J144" s="158"/>
      <c r="K144" s="159"/>
    </row>
    <row r="145" spans="1:11" ht="30">
      <c r="A145" s="170">
        <v>6</v>
      </c>
      <c r="B145" s="168" t="s">
        <v>280</v>
      </c>
      <c r="C145" s="169" t="s">
        <v>15</v>
      </c>
      <c r="D145" s="169">
        <v>2</v>
      </c>
      <c r="E145" s="169">
        <v>2</v>
      </c>
      <c r="F145" s="170">
        <f t="shared" si="17"/>
        <v>4</v>
      </c>
      <c r="G145" s="170">
        <v>1</v>
      </c>
      <c r="H145" s="171">
        <v>5.5</v>
      </c>
      <c r="I145" s="171">
        <f t="shared" si="18"/>
        <v>22</v>
      </c>
      <c r="J145" s="158"/>
      <c r="K145" s="159"/>
    </row>
    <row r="146" spans="1:11" ht="45">
      <c r="A146" s="167">
        <v>7</v>
      </c>
      <c r="B146" s="168" t="s">
        <v>268</v>
      </c>
      <c r="C146" s="169" t="s">
        <v>15</v>
      </c>
      <c r="D146" s="169">
        <v>1</v>
      </c>
      <c r="E146" s="169">
        <v>1</v>
      </c>
      <c r="F146" s="170">
        <f t="shared" si="17"/>
        <v>2</v>
      </c>
      <c r="G146" s="170">
        <v>1</v>
      </c>
      <c r="H146" s="171">
        <v>32.39</v>
      </c>
      <c r="I146" s="171">
        <f t="shared" si="18"/>
        <v>64.78</v>
      </c>
      <c r="J146" s="158"/>
      <c r="K146" s="159"/>
    </row>
    <row r="147" spans="1:11" ht="45">
      <c r="A147" s="167">
        <v>8</v>
      </c>
      <c r="B147" s="168" t="s">
        <v>269</v>
      </c>
      <c r="C147" s="169" t="s">
        <v>15</v>
      </c>
      <c r="D147" s="169">
        <v>1</v>
      </c>
      <c r="E147" s="169">
        <v>1</v>
      </c>
      <c r="F147" s="170">
        <f t="shared" si="17"/>
        <v>2</v>
      </c>
      <c r="G147" s="170">
        <v>1</v>
      </c>
      <c r="H147" s="171">
        <v>14.7</v>
      </c>
      <c r="I147" s="171">
        <f t="shared" si="18"/>
        <v>29.4</v>
      </c>
      <c r="J147" s="158"/>
      <c r="K147" s="159"/>
    </row>
    <row r="148" spans="1:11">
      <c r="A148" s="167">
        <v>9</v>
      </c>
      <c r="B148" s="168" t="s">
        <v>271</v>
      </c>
      <c r="C148" s="169" t="s">
        <v>17</v>
      </c>
      <c r="D148" s="169">
        <v>2</v>
      </c>
      <c r="E148" s="169">
        <v>2</v>
      </c>
      <c r="F148" s="170">
        <f t="shared" si="17"/>
        <v>4</v>
      </c>
      <c r="G148" s="170">
        <v>1</v>
      </c>
      <c r="H148" s="171">
        <v>6.36</v>
      </c>
      <c r="I148" s="171">
        <f t="shared" si="18"/>
        <v>25.44</v>
      </c>
      <c r="J148" s="158"/>
      <c r="K148" s="159"/>
    </row>
    <row r="149" spans="1:11" ht="30">
      <c r="A149" s="170">
        <v>10</v>
      </c>
      <c r="B149" s="168" t="s">
        <v>281</v>
      </c>
      <c r="C149" s="169" t="s">
        <v>17</v>
      </c>
      <c r="D149" s="169">
        <v>1</v>
      </c>
      <c r="E149" s="169">
        <v>1</v>
      </c>
      <c r="F149" s="170">
        <f t="shared" si="17"/>
        <v>2</v>
      </c>
      <c r="G149" s="170">
        <v>1</v>
      </c>
      <c r="H149" s="171">
        <v>46.71</v>
      </c>
      <c r="I149" s="171">
        <f t="shared" si="18"/>
        <v>93.42</v>
      </c>
      <c r="J149" s="164"/>
      <c r="K149" s="159"/>
    </row>
    <row r="150" spans="1:11" ht="30">
      <c r="A150" s="167">
        <v>11</v>
      </c>
      <c r="B150" s="168" t="s">
        <v>314</v>
      </c>
      <c r="C150" s="169" t="s">
        <v>17</v>
      </c>
      <c r="D150" s="169">
        <v>4</v>
      </c>
      <c r="E150" s="169">
        <v>4</v>
      </c>
      <c r="F150" s="170">
        <f t="shared" si="17"/>
        <v>8</v>
      </c>
      <c r="G150" s="170">
        <v>1</v>
      </c>
      <c r="H150" s="171">
        <v>46.71</v>
      </c>
      <c r="I150" s="171">
        <f t="shared" ref="I150" si="19">H150*F150</f>
        <v>373.68</v>
      </c>
      <c r="J150" s="164"/>
      <c r="K150" s="159"/>
    </row>
    <row r="151" spans="1:11">
      <c r="A151" s="167">
        <v>12</v>
      </c>
      <c r="B151" s="168" t="s">
        <v>272</v>
      </c>
      <c r="C151" s="169" t="s">
        <v>17</v>
      </c>
      <c r="D151" s="169">
        <v>1</v>
      </c>
      <c r="E151" s="169">
        <v>1</v>
      </c>
      <c r="F151" s="170">
        <f t="shared" si="17"/>
        <v>2</v>
      </c>
      <c r="G151" s="170">
        <v>1</v>
      </c>
      <c r="H151" s="171">
        <v>5.93</v>
      </c>
      <c r="I151" s="171">
        <f t="shared" si="18"/>
        <v>11.86</v>
      </c>
      <c r="J151" s="158"/>
      <c r="K151" s="159"/>
    </row>
    <row r="152" spans="1:11" ht="30">
      <c r="A152" s="167">
        <v>13</v>
      </c>
      <c r="B152" s="168" t="s">
        <v>273</v>
      </c>
      <c r="C152" s="169" t="s">
        <v>17</v>
      </c>
      <c r="D152" s="169">
        <v>1</v>
      </c>
      <c r="E152" s="169">
        <v>1</v>
      </c>
      <c r="F152" s="170">
        <f t="shared" si="17"/>
        <v>2</v>
      </c>
      <c r="G152" s="170">
        <v>1</v>
      </c>
      <c r="H152" s="171">
        <v>30.68</v>
      </c>
      <c r="I152" s="171">
        <f t="shared" si="18"/>
        <v>61.36</v>
      </c>
      <c r="J152" s="158"/>
      <c r="K152" s="159"/>
    </row>
    <row r="153" spans="1:11" ht="30">
      <c r="A153" s="170">
        <v>14</v>
      </c>
      <c r="B153" s="168" t="s">
        <v>274</v>
      </c>
      <c r="C153" s="169" t="s">
        <v>17</v>
      </c>
      <c r="D153" s="169">
        <v>1</v>
      </c>
      <c r="E153" s="169">
        <v>0</v>
      </c>
      <c r="F153" s="170">
        <f t="shared" si="17"/>
        <v>1</v>
      </c>
      <c r="G153" s="170">
        <v>1</v>
      </c>
      <c r="H153" s="171">
        <v>144</v>
      </c>
      <c r="I153" s="171">
        <f t="shared" si="18"/>
        <v>144</v>
      </c>
      <c r="J153" s="160"/>
      <c r="K153" s="163"/>
    </row>
    <row r="154" spans="1:11" ht="30">
      <c r="A154" s="167">
        <v>15</v>
      </c>
      <c r="B154" s="168" t="s">
        <v>302</v>
      </c>
      <c r="C154" s="169" t="s">
        <v>17</v>
      </c>
      <c r="D154" s="169">
        <v>1</v>
      </c>
      <c r="E154" s="169">
        <v>0</v>
      </c>
      <c r="F154" s="170">
        <f t="shared" si="17"/>
        <v>1</v>
      </c>
      <c r="G154" s="170">
        <v>1</v>
      </c>
      <c r="H154" s="171">
        <v>82.39</v>
      </c>
      <c r="I154" s="171">
        <f t="shared" si="18"/>
        <v>82.39</v>
      </c>
      <c r="J154" s="160"/>
      <c r="K154" s="164"/>
    </row>
    <row r="155" spans="1:11" ht="30">
      <c r="A155" s="167">
        <v>16</v>
      </c>
      <c r="B155" s="168" t="s">
        <v>283</v>
      </c>
      <c r="C155" s="169" t="s">
        <v>15</v>
      </c>
      <c r="D155" s="169">
        <v>1</v>
      </c>
      <c r="E155" s="169">
        <v>1</v>
      </c>
      <c r="F155" s="170">
        <f t="shared" si="17"/>
        <v>2</v>
      </c>
      <c r="G155" s="170">
        <v>1</v>
      </c>
      <c r="H155" s="171">
        <v>49.9</v>
      </c>
      <c r="I155" s="171">
        <f t="shared" si="18"/>
        <v>99.8</v>
      </c>
      <c r="J155" s="158"/>
      <c r="K155" s="159"/>
    </row>
    <row r="156" spans="1:11" ht="30">
      <c r="A156" s="167">
        <v>17</v>
      </c>
      <c r="B156" s="168" t="s">
        <v>282</v>
      </c>
      <c r="C156" s="169" t="s">
        <v>17</v>
      </c>
      <c r="D156" s="169">
        <v>1</v>
      </c>
      <c r="E156" s="169">
        <v>1</v>
      </c>
      <c r="F156" s="170">
        <f t="shared" si="17"/>
        <v>2</v>
      </c>
      <c r="G156" s="170">
        <v>1</v>
      </c>
      <c r="H156" s="171">
        <v>95.37</v>
      </c>
      <c r="I156" s="171">
        <f t="shared" si="18"/>
        <v>190.74</v>
      </c>
      <c r="J156" s="158"/>
      <c r="K156" s="159"/>
    </row>
    <row r="157" spans="1:11" ht="15" customHeight="1">
      <c r="A157" s="233" t="s">
        <v>310</v>
      </c>
      <c r="B157" s="234"/>
      <c r="C157" s="234"/>
      <c r="D157" s="234"/>
      <c r="E157" s="234"/>
      <c r="F157" s="234"/>
      <c r="G157" s="173"/>
      <c r="H157" s="173"/>
      <c r="I157" s="174">
        <f>SUM(I140:I156)</f>
        <v>1706.8899999999999</v>
      </c>
      <c r="J157" s="158"/>
      <c r="K157" s="159"/>
    </row>
    <row r="158" spans="1:11">
      <c r="A158" s="232" t="s">
        <v>311</v>
      </c>
      <c r="B158" s="232"/>
      <c r="C158" s="232"/>
      <c r="D158" s="232"/>
      <c r="E158" s="232"/>
      <c r="F158" s="232"/>
      <c r="G158" s="175"/>
      <c r="H158" s="175"/>
      <c r="I158" s="176">
        <f>I157/12</f>
        <v>142.24083333333331</v>
      </c>
      <c r="J158" s="158"/>
      <c r="K158" s="159"/>
    </row>
    <row r="159" spans="1:11">
      <c r="A159" s="153"/>
      <c r="B159" s="152"/>
      <c r="F159" s="154"/>
      <c r="G159" s="154"/>
      <c r="J159" s="158"/>
      <c r="K159" s="159"/>
    </row>
    <row r="160" spans="1:11">
      <c r="A160" s="235" t="s">
        <v>235</v>
      </c>
      <c r="B160" s="234"/>
      <c r="C160" s="234"/>
      <c r="D160" s="234"/>
      <c r="E160" s="234"/>
      <c r="F160" s="234"/>
      <c r="G160" s="234"/>
      <c r="H160" s="234"/>
      <c r="I160" s="234"/>
      <c r="J160" s="158"/>
      <c r="K160" s="159"/>
    </row>
    <row r="161" spans="1:11" ht="60">
      <c r="A161" s="166" t="s">
        <v>10</v>
      </c>
      <c r="B161" s="166" t="s">
        <v>12</v>
      </c>
      <c r="C161" s="166" t="s">
        <v>17</v>
      </c>
      <c r="D161" s="166" t="s">
        <v>18</v>
      </c>
      <c r="E161" s="166" t="s">
        <v>19</v>
      </c>
      <c r="F161" s="166" t="s">
        <v>13</v>
      </c>
      <c r="G161" s="166" t="s">
        <v>303</v>
      </c>
      <c r="H161" s="166" t="s">
        <v>11</v>
      </c>
      <c r="I161" s="166" t="s">
        <v>14</v>
      </c>
      <c r="J161" s="158"/>
      <c r="K161" s="159"/>
    </row>
    <row r="162" spans="1:11" ht="30">
      <c r="A162" s="167">
        <v>1</v>
      </c>
      <c r="B162" s="168" t="s">
        <v>234</v>
      </c>
      <c r="C162" s="169" t="s">
        <v>16</v>
      </c>
      <c r="D162" s="169">
        <v>3</v>
      </c>
      <c r="E162" s="169">
        <v>1</v>
      </c>
      <c r="F162" s="170">
        <f t="shared" ref="F162:F173" si="20">SUM(D162:E162)</f>
        <v>4</v>
      </c>
      <c r="G162" s="170">
        <v>1</v>
      </c>
      <c r="H162" s="171">
        <v>40.17</v>
      </c>
      <c r="I162" s="171">
        <f t="shared" ref="I162:I173" si="21">H162*F162</f>
        <v>160.68</v>
      </c>
      <c r="J162" s="158"/>
      <c r="K162" s="159"/>
    </row>
    <row r="163" spans="1:11" ht="60">
      <c r="A163" s="170">
        <v>2</v>
      </c>
      <c r="B163" s="168" t="s">
        <v>266</v>
      </c>
      <c r="C163" s="169" t="s">
        <v>16</v>
      </c>
      <c r="D163" s="169">
        <v>3</v>
      </c>
      <c r="E163" s="169">
        <v>2</v>
      </c>
      <c r="F163" s="170">
        <f t="shared" si="20"/>
        <v>5</v>
      </c>
      <c r="G163" s="170">
        <v>1</v>
      </c>
      <c r="H163" s="171">
        <v>39.75</v>
      </c>
      <c r="I163" s="171">
        <f t="shared" si="21"/>
        <v>198.75</v>
      </c>
      <c r="J163" s="158"/>
      <c r="K163" s="159"/>
    </row>
    <row r="164" spans="1:11" ht="45">
      <c r="A164" s="167">
        <v>3</v>
      </c>
      <c r="B164" s="168" t="s">
        <v>222</v>
      </c>
      <c r="C164" s="169" t="s">
        <v>15</v>
      </c>
      <c r="D164" s="169">
        <v>3</v>
      </c>
      <c r="E164" s="169">
        <v>2</v>
      </c>
      <c r="F164" s="170">
        <f t="shared" si="20"/>
        <v>5</v>
      </c>
      <c r="G164" s="170">
        <v>1</v>
      </c>
      <c r="H164" s="171">
        <v>7.39</v>
      </c>
      <c r="I164" s="171">
        <f t="shared" si="21"/>
        <v>36.949999999999996</v>
      </c>
      <c r="J164" s="158"/>
      <c r="K164" s="159"/>
    </row>
    <row r="165" spans="1:11" ht="75">
      <c r="A165" s="167">
        <v>4</v>
      </c>
      <c r="B165" s="168" t="s">
        <v>223</v>
      </c>
      <c r="C165" s="169" t="s">
        <v>224</v>
      </c>
      <c r="D165" s="169">
        <v>2</v>
      </c>
      <c r="E165" s="169">
        <v>2</v>
      </c>
      <c r="F165" s="170">
        <f t="shared" si="20"/>
        <v>4</v>
      </c>
      <c r="G165" s="170">
        <v>1</v>
      </c>
      <c r="H165" s="171">
        <v>6.46</v>
      </c>
      <c r="I165" s="171">
        <f t="shared" si="21"/>
        <v>25.84</v>
      </c>
      <c r="J165" s="158"/>
      <c r="K165" s="159"/>
    </row>
    <row r="166" spans="1:11" ht="135">
      <c r="A166" s="170">
        <v>5</v>
      </c>
      <c r="B166" s="168" t="s">
        <v>275</v>
      </c>
      <c r="C166" s="169" t="s">
        <v>15</v>
      </c>
      <c r="D166" s="169">
        <v>1</v>
      </c>
      <c r="E166" s="169">
        <v>1</v>
      </c>
      <c r="F166" s="170">
        <f t="shared" si="20"/>
        <v>2</v>
      </c>
      <c r="G166" s="170">
        <v>1</v>
      </c>
      <c r="H166" s="171">
        <v>39.65</v>
      </c>
      <c r="I166" s="171">
        <f t="shared" si="21"/>
        <v>79.3</v>
      </c>
      <c r="J166" s="158"/>
      <c r="K166" s="159"/>
    </row>
    <row r="167" spans="1:11">
      <c r="A167" s="167">
        <v>6</v>
      </c>
      <c r="B167" s="168" t="s">
        <v>271</v>
      </c>
      <c r="C167" s="169" t="s">
        <v>17</v>
      </c>
      <c r="D167" s="169">
        <v>2</v>
      </c>
      <c r="E167" s="169">
        <v>2</v>
      </c>
      <c r="F167" s="170">
        <f t="shared" si="20"/>
        <v>4</v>
      </c>
      <c r="G167" s="170">
        <v>1</v>
      </c>
      <c r="H167" s="171">
        <v>6.36</v>
      </c>
      <c r="I167" s="171">
        <f t="shared" si="21"/>
        <v>25.44</v>
      </c>
      <c r="J167" s="158"/>
      <c r="K167" s="159"/>
    </row>
    <row r="168" spans="1:11">
      <c r="A168" s="167">
        <v>7</v>
      </c>
      <c r="B168" s="168" t="s">
        <v>272</v>
      </c>
      <c r="C168" s="169" t="s">
        <v>17</v>
      </c>
      <c r="D168" s="169">
        <v>1</v>
      </c>
      <c r="E168" s="169">
        <v>1</v>
      </c>
      <c r="F168" s="170">
        <f t="shared" si="20"/>
        <v>2</v>
      </c>
      <c r="G168" s="170">
        <v>1</v>
      </c>
      <c r="H168" s="171">
        <v>5.93</v>
      </c>
      <c r="I168" s="171">
        <f t="shared" si="21"/>
        <v>11.86</v>
      </c>
      <c r="J168" s="158"/>
      <c r="K168" s="159"/>
    </row>
    <row r="169" spans="1:11" ht="30">
      <c r="A169" s="170">
        <v>8</v>
      </c>
      <c r="B169" s="168" t="s">
        <v>273</v>
      </c>
      <c r="C169" s="169" t="s">
        <v>17</v>
      </c>
      <c r="D169" s="169">
        <v>1</v>
      </c>
      <c r="E169" s="169">
        <v>1</v>
      </c>
      <c r="F169" s="170">
        <f t="shared" si="20"/>
        <v>2</v>
      </c>
      <c r="G169" s="170">
        <v>1</v>
      </c>
      <c r="H169" s="171">
        <v>30.68</v>
      </c>
      <c r="I169" s="171">
        <f t="shared" si="21"/>
        <v>61.36</v>
      </c>
      <c r="J169" s="158"/>
      <c r="K169" s="159"/>
    </row>
    <row r="170" spans="1:11" ht="30">
      <c r="A170" s="167">
        <v>9</v>
      </c>
      <c r="B170" s="168" t="s">
        <v>274</v>
      </c>
      <c r="C170" s="169" t="s">
        <v>17</v>
      </c>
      <c r="D170" s="169">
        <v>1</v>
      </c>
      <c r="E170" s="169">
        <v>0</v>
      </c>
      <c r="F170" s="170">
        <f t="shared" si="20"/>
        <v>1</v>
      </c>
      <c r="G170" s="170">
        <v>1</v>
      </c>
      <c r="H170" s="171">
        <v>144</v>
      </c>
      <c r="I170" s="171">
        <f t="shared" si="21"/>
        <v>144</v>
      </c>
      <c r="J170" s="160"/>
      <c r="K170" s="163"/>
    </row>
    <row r="171" spans="1:11" ht="30">
      <c r="A171" s="167">
        <v>10</v>
      </c>
      <c r="B171" s="168" t="s">
        <v>302</v>
      </c>
      <c r="C171" s="169" t="s">
        <v>17</v>
      </c>
      <c r="D171" s="169">
        <v>1</v>
      </c>
      <c r="E171" s="169">
        <v>0</v>
      </c>
      <c r="F171" s="170">
        <f t="shared" si="20"/>
        <v>1</v>
      </c>
      <c r="G171" s="170">
        <v>1</v>
      </c>
      <c r="H171" s="171">
        <v>82.39</v>
      </c>
      <c r="I171" s="171">
        <f t="shared" si="21"/>
        <v>82.39</v>
      </c>
      <c r="J171" s="160"/>
      <c r="K171" s="164"/>
    </row>
    <row r="172" spans="1:11" ht="90">
      <c r="A172" s="170">
        <v>11</v>
      </c>
      <c r="B172" s="168" t="s">
        <v>276</v>
      </c>
      <c r="C172" s="169" t="s">
        <v>15</v>
      </c>
      <c r="D172" s="169">
        <v>5</v>
      </c>
      <c r="E172" s="169">
        <v>4</v>
      </c>
      <c r="F172" s="170">
        <f t="shared" si="20"/>
        <v>9</v>
      </c>
      <c r="G172" s="170">
        <v>1</v>
      </c>
      <c r="H172" s="171">
        <v>4.8</v>
      </c>
      <c r="I172" s="171">
        <f t="shared" si="21"/>
        <v>43.199999999999996</v>
      </c>
      <c r="J172" s="158"/>
      <c r="K172" s="159"/>
    </row>
    <row r="173" spans="1:11">
      <c r="A173" s="167">
        <v>12</v>
      </c>
      <c r="B173" s="168" t="s">
        <v>277</v>
      </c>
      <c r="C173" s="169" t="s">
        <v>15</v>
      </c>
      <c r="D173" s="169">
        <v>2</v>
      </c>
      <c r="E173" s="169">
        <v>2</v>
      </c>
      <c r="F173" s="170">
        <f t="shared" si="20"/>
        <v>4</v>
      </c>
      <c r="G173" s="170">
        <v>1</v>
      </c>
      <c r="H173" s="171">
        <v>14.7</v>
      </c>
      <c r="I173" s="171">
        <f t="shared" si="21"/>
        <v>58.8</v>
      </c>
      <c r="J173" s="158"/>
      <c r="K173" s="159"/>
    </row>
    <row r="174" spans="1:11" ht="15" customHeight="1">
      <c r="A174" s="233" t="s">
        <v>310</v>
      </c>
      <c r="B174" s="234"/>
      <c r="C174" s="234"/>
      <c r="D174" s="234"/>
      <c r="E174" s="234"/>
      <c r="F174" s="234"/>
      <c r="G174" s="173"/>
      <c r="H174" s="173"/>
      <c r="I174" s="174">
        <f>SUM(I162:I173)</f>
        <v>928.57</v>
      </c>
      <c r="J174" s="158"/>
      <c r="K174" s="159"/>
    </row>
    <row r="175" spans="1:11">
      <c r="A175" s="232" t="s">
        <v>311</v>
      </c>
      <c r="B175" s="232"/>
      <c r="C175" s="232"/>
      <c r="D175" s="232"/>
      <c r="E175" s="232"/>
      <c r="F175" s="232"/>
      <c r="G175" s="175"/>
      <c r="H175" s="175"/>
      <c r="I175" s="176">
        <f>I174/12</f>
        <v>77.380833333333342</v>
      </c>
      <c r="J175" s="158"/>
      <c r="K175" s="159"/>
    </row>
  </sheetData>
  <mergeCells count="34">
    <mergeCell ref="A174:F174"/>
    <mergeCell ref="A97:F97"/>
    <mergeCell ref="A157:F157"/>
    <mergeCell ref="A135:F135"/>
    <mergeCell ref="A136:F136"/>
    <mergeCell ref="A138:I138"/>
    <mergeCell ref="A158:F158"/>
    <mergeCell ref="A160:I160"/>
    <mergeCell ref="A7:I7"/>
    <mergeCell ref="A1:I1"/>
    <mergeCell ref="A2:I2"/>
    <mergeCell ref="A4:I4"/>
    <mergeCell ref="A5:I5"/>
    <mergeCell ref="A18:I18"/>
    <mergeCell ref="A30:F30"/>
    <mergeCell ref="A31:F31"/>
    <mergeCell ref="A33:I33"/>
    <mergeCell ref="A44:F44"/>
    <mergeCell ref="A175:F175"/>
    <mergeCell ref="A14:F14"/>
    <mergeCell ref="A15:F15"/>
    <mergeCell ref="A60:F60"/>
    <mergeCell ref="A62:I62"/>
    <mergeCell ref="A45:F45"/>
    <mergeCell ref="A47:I47"/>
    <mergeCell ref="A59:F59"/>
    <mergeCell ref="A80:F80"/>
    <mergeCell ref="A116:F116"/>
    <mergeCell ref="A81:F81"/>
    <mergeCell ref="A84:I84"/>
    <mergeCell ref="A98:F98"/>
    <mergeCell ref="A101:I101"/>
    <mergeCell ref="A117:F117"/>
    <mergeCell ref="A120:I120"/>
  </mergeCells>
  <pageMargins left="0.511811024" right="0.511811024" top="0.78740157499999996" bottom="0.78740157499999996" header="0.31496062000000002" footer="0.31496062000000002"/>
  <pageSetup paperSize="9" scale="75" orientation="portrait" r:id="rId1"/>
  <headerFooter>
    <oddHeader>&amp;L&amp;G&amp;C&amp;"-,Itálico"&amp;9Processo 23069.152636/2023-41
PE 16/2023&amp;R&amp;G</oddHeader>
    <oddFooter>&amp;L&amp;9&amp;A</oddFooter>
  </headerFooter>
  <colBreaks count="1" manualBreakCount="1">
    <brk id="9" max="1048575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9266-CD09-49CC-8128-1E43E1E513BB}">
  <dimension ref="A1:K158"/>
  <sheetViews>
    <sheetView topLeftCell="A64" zoomScaleNormal="100" workbookViewId="0">
      <selection activeCell="A4" sqref="A4:G4"/>
    </sheetView>
  </sheetViews>
  <sheetFormatPr defaultColWidth="8.85546875" defaultRowHeight="15"/>
  <cols>
    <col min="1" max="1" width="9.5703125" bestFit="1" customWidth="1"/>
    <col min="2" max="2" width="54.42578125" customWidth="1"/>
    <col min="3" max="3" width="11.140625" bestFit="1" customWidth="1"/>
    <col min="4" max="5" width="12.140625" bestFit="1" customWidth="1"/>
    <col min="6" max="6" width="13.28515625" bestFit="1" customWidth="1"/>
    <col min="7" max="7" width="13.7109375" bestFit="1" customWidth="1"/>
    <col min="8" max="8" width="12.7109375" customWidth="1"/>
    <col min="9" max="9" width="11.140625" bestFit="1" customWidth="1"/>
    <col min="10" max="10" width="12.7109375" bestFit="1" customWidth="1"/>
    <col min="11" max="11" width="10.5703125" bestFit="1" customWidth="1"/>
  </cols>
  <sheetData>
    <row r="1" spans="1:8" ht="18" customHeight="1">
      <c r="A1" s="208" t="s">
        <v>0</v>
      </c>
      <c r="B1" s="208"/>
      <c r="C1" s="208"/>
      <c r="D1" s="208"/>
      <c r="E1" s="208"/>
      <c r="F1" s="208"/>
      <c r="G1" s="208"/>
      <c r="H1" s="208"/>
    </row>
    <row r="2" spans="1:8" ht="18.75">
      <c r="A2" s="209" t="s">
        <v>2</v>
      </c>
      <c r="B2" s="209"/>
      <c r="C2" s="209"/>
      <c r="D2" s="209"/>
      <c r="E2" s="209"/>
      <c r="F2" s="209"/>
      <c r="G2" s="209"/>
      <c r="H2" s="209"/>
    </row>
    <row r="4" spans="1:8" ht="14.45" customHeight="1">
      <c r="A4" s="242" t="s">
        <v>154</v>
      </c>
      <c r="B4" s="242"/>
      <c r="C4" s="242"/>
      <c r="D4" s="242"/>
      <c r="E4" s="242"/>
      <c r="F4" s="242"/>
      <c r="G4" s="242"/>
      <c r="H4" s="242"/>
    </row>
    <row r="5" spans="1:8" ht="38.450000000000003" customHeight="1">
      <c r="A5" s="211" t="s">
        <v>167</v>
      </c>
      <c r="B5" s="211"/>
      <c r="C5" s="211"/>
      <c r="D5" s="211"/>
      <c r="E5" s="211"/>
      <c r="F5" s="211"/>
      <c r="G5" s="211"/>
      <c r="H5" s="211"/>
    </row>
    <row r="6" spans="1:8" ht="15" customHeight="1">
      <c r="A6" s="241" t="s">
        <v>29</v>
      </c>
      <c r="B6" s="241"/>
      <c r="C6" s="241"/>
      <c r="D6" s="241"/>
      <c r="E6" s="241"/>
      <c r="F6" s="241"/>
      <c r="G6" s="241"/>
      <c r="H6" s="241"/>
    </row>
    <row r="7" spans="1:8" ht="15.75" customHeight="1" thickBot="1">
      <c r="A7" s="241" t="s">
        <v>30</v>
      </c>
      <c r="B7" s="241"/>
      <c r="C7" s="241"/>
      <c r="D7" s="241"/>
      <c r="E7" s="241"/>
      <c r="F7" s="241"/>
      <c r="G7" s="241"/>
      <c r="H7" s="241"/>
    </row>
    <row r="8" spans="1:8">
      <c r="A8" s="258" t="s">
        <v>132</v>
      </c>
      <c r="B8" s="259"/>
      <c r="C8" s="260" t="s">
        <v>133</v>
      </c>
      <c r="D8" s="260"/>
      <c r="E8" s="260"/>
      <c r="F8" s="260"/>
      <c r="G8" s="261"/>
    </row>
    <row r="9" spans="1:8" ht="15.75" thickBot="1">
      <c r="A9" s="262" t="s">
        <v>315</v>
      </c>
      <c r="B9" s="263"/>
      <c r="C9" s="264"/>
      <c r="D9" s="264"/>
      <c r="E9" s="264"/>
      <c r="F9" s="264"/>
      <c r="G9" s="265"/>
    </row>
    <row r="10" spans="1:8" ht="15.75" thickBot="1">
      <c r="A10" s="12"/>
      <c r="B10" s="27"/>
      <c r="C10" s="28"/>
      <c r="D10" s="28"/>
      <c r="E10" s="28"/>
    </row>
    <row r="11" spans="1:8">
      <c r="A11" s="266" t="s">
        <v>134</v>
      </c>
      <c r="B11" s="267"/>
      <c r="C11" s="267"/>
      <c r="D11" s="267"/>
      <c r="E11" s="267"/>
      <c r="F11" s="267"/>
      <c r="G11" s="268"/>
    </row>
    <row r="12" spans="1:8">
      <c r="A12" s="252" t="s">
        <v>135</v>
      </c>
      <c r="B12" s="253"/>
      <c r="C12" s="269" t="s">
        <v>315</v>
      </c>
      <c r="D12" s="254"/>
      <c r="E12" s="254"/>
      <c r="F12" s="254"/>
      <c r="G12" s="255"/>
    </row>
    <row r="13" spans="1:8">
      <c r="A13" s="252" t="s">
        <v>136</v>
      </c>
      <c r="B13" s="253"/>
      <c r="C13" s="254" t="s">
        <v>315</v>
      </c>
      <c r="D13" s="254"/>
      <c r="E13" s="254"/>
      <c r="F13" s="254"/>
      <c r="G13" s="255"/>
    </row>
    <row r="14" spans="1:8">
      <c r="A14" s="256" t="s">
        <v>137</v>
      </c>
      <c r="B14" s="257"/>
      <c r="C14" s="254" t="s">
        <v>315</v>
      </c>
      <c r="D14" s="254"/>
      <c r="E14" s="254"/>
      <c r="F14" s="254"/>
      <c r="G14" s="255"/>
    </row>
    <row r="15" spans="1:8">
      <c r="A15" s="252" t="s">
        <v>138</v>
      </c>
      <c r="B15" s="253"/>
      <c r="C15" s="254" t="s">
        <v>315</v>
      </c>
      <c r="D15" s="254"/>
      <c r="E15" s="254"/>
      <c r="F15" s="254"/>
      <c r="G15" s="255"/>
    </row>
    <row r="16" spans="1:8" ht="15.75" thickBot="1">
      <c r="A16" s="243" t="s">
        <v>139</v>
      </c>
      <c r="B16" s="244"/>
      <c r="C16" s="245" t="s">
        <v>315</v>
      </c>
      <c r="D16" s="245"/>
      <c r="E16" s="245"/>
      <c r="F16" s="245"/>
      <c r="G16" s="246"/>
    </row>
    <row r="17" spans="1:8">
      <c r="A17" s="12"/>
      <c r="B17" s="27"/>
      <c r="C17" s="28"/>
      <c r="D17" s="28"/>
      <c r="E17" s="28"/>
    </row>
    <row r="18" spans="1:8">
      <c r="A18" s="247" t="s">
        <v>140</v>
      </c>
      <c r="B18" s="247"/>
      <c r="C18" s="247"/>
      <c r="D18" s="247"/>
      <c r="E18" s="29"/>
      <c r="F18" s="29"/>
      <c r="G18" s="29"/>
    </row>
    <row r="19" spans="1:8">
      <c r="A19" s="95" t="s">
        <v>141</v>
      </c>
      <c r="B19" s="95" t="s">
        <v>142</v>
      </c>
      <c r="C19" s="96" t="s">
        <v>143</v>
      </c>
      <c r="D19" s="96" t="s">
        <v>144</v>
      </c>
      <c r="E19" s="28"/>
    </row>
    <row r="20" spans="1:8">
      <c r="A20" s="15">
        <v>20.88</v>
      </c>
      <c r="B20" t="s">
        <v>180</v>
      </c>
      <c r="C20" s="32" t="s">
        <v>198</v>
      </c>
      <c r="D20" s="142">
        <v>2103.1999999999998</v>
      </c>
      <c r="E20" s="28"/>
    </row>
    <row r="21" spans="1:8">
      <c r="A21" s="15">
        <v>20.88</v>
      </c>
      <c r="B21" s="15" t="s">
        <v>169</v>
      </c>
      <c r="C21" s="32" t="s">
        <v>199</v>
      </c>
      <c r="D21" s="142">
        <v>1848</v>
      </c>
      <c r="E21" s="28"/>
    </row>
    <row r="22" spans="1:8">
      <c r="A22" s="15">
        <v>20.88</v>
      </c>
      <c r="B22" s="98" t="str">
        <f>'Anexo IV - Custo Total MDO'!B11</f>
        <v>Técnico de Refrigeração</v>
      </c>
      <c r="C22" s="99" t="s">
        <v>201</v>
      </c>
      <c r="D22" s="17">
        <v>1848</v>
      </c>
    </row>
    <row r="23" spans="1:8">
      <c r="A23" s="15">
        <v>20.88</v>
      </c>
      <c r="B23" s="15" t="s">
        <v>170</v>
      </c>
      <c r="C23" s="99" t="s">
        <v>200</v>
      </c>
      <c r="D23" s="17">
        <v>1639</v>
      </c>
      <c r="E23" s="13"/>
    </row>
    <row r="24" spans="1:8">
      <c r="A24" s="15">
        <v>20.88</v>
      </c>
      <c r="B24" s="15" t="str">
        <f>'Anexo IV - Custo Total MDO'!B13</f>
        <v>Almoxarife</v>
      </c>
      <c r="C24" s="99" t="s">
        <v>197</v>
      </c>
      <c r="D24" s="17">
        <v>1848</v>
      </c>
      <c r="E24" s="13"/>
    </row>
    <row r="25" spans="1:8" ht="15.75" thickBot="1">
      <c r="A25" s="12"/>
      <c r="B25" s="12"/>
      <c r="C25" s="13"/>
      <c r="D25" s="13"/>
      <c r="E25" s="13"/>
    </row>
    <row r="26" spans="1:8" ht="30">
      <c r="A26" s="248" t="s">
        <v>31</v>
      </c>
      <c r="B26" s="249"/>
      <c r="C26" s="249"/>
      <c r="D26" s="34" t="s">
        <v>181</v>
      </c>
      <c r="E26" s="35" t="s">
        <v>182</v>
      </c>
      <c r="F26" s="35" t="s">
        <v>183</v>
      </c>
      <c r="G26" s="35" t="s">
        <v>184</v>
      </c>
      <c r="H26" s="178" t="s">
        <v>171</v>
      </c>
    </row>
    <row r="27" spans="1:8">
      <c r="A27" s="36">
        <v>1</v>
      </c>
      <c r="B27" s="250" t="s">
        <v>32</v>
      </c>
      <c r="C27" s="250"/>
      <c r="D27" s="37" t="s">
        <v>33</v>
      </c>
      <c r="E27" s="37" t="s">
        <v>33</v>
      </c>
      <c r="F27" s="37" t="s">
        <v>33</v>
      </c>
      <c r="G27" s="37" t="s">
        <v>33</v>
      </c>
      <c r="H27" s="38" t="s">
        <v>33</v>
      </c>
    </row>
    <row r="28" spans="1:8">
      <c r="A28" s="39" t="s">
        <v>34</v>
      </c>
      <c r="B28" s="251" t="s">
        <v>35</v>
      </c>
      <c r="C28" s="251"/>
      <c r="D28" s="40">
        <f>D20</f>
        <v>2103.1999999999998</v>
      </c>
      <c r="E28" s="17">
        <f>D21</f>
        <v>1848</v>
      </c>
      <c r="F28" s="41">
        <f>D22</f>
        <v>1848</v>
      </c>
      <c r="G28" s="41">
        <f>D23</f>
        <v>1639</v>
      </c>
      <c r="H28" s="42">
        <f>D24</f>
        <v>1848</v>
      </c>
    </row>
    <row r="29" spans="1:8">
      <c r="A29" s="39" t="s">
        <v>36</v>
      </c>
      <c r="B29" s="251" t="s">
        <v>37</v>
      </c>
      <c r="C29" s="251"/>
      <c r="D29" s="43"/>
      <c r="E29" s="16"/>
      <c r="F29" s="44"/>
      <c r="G29" s="44"/>
      <c r="H29" s="45"/>
    </row>
    <row r="30" spans="1:8">
      <c r="A30" s="39" t="s">
        <v>38</v>
      </c>
      <c r="B30" s="251" t="s">
        <v>145</v>
      </c>
      <c r="C30" s="251"/>
      <c r="D30" s="43"/>
      <c r="E30" s="16"/>
      <c r="F30" s="46"/>
      <c r="G30" s="44"/>
      <c r="H30" s="45"/>
    </row>
    <row r="31" spans="1:8">
      <c r="A31" s="39" t="s">
        <v>39</v>
      </c>
      <c r="B31" s="279" t="s">
        <v>40</v>
      </c>
      <c r="C31" s="279"/>
      <c r="D31" s="43"/>
      <c r="E31" s="17"/>
      <c r="F31" s="44"/>
      <c r="G31" s="17"/>
      <c r="H31" s="179"/>
    </row>
    <row r="32" spans="1:8">
      <c r="A32" s="39" t="s">
        <v>41</v>
      </c>
      <c r="B32" s="279" t="s">
        <v>42</v>
      </c>
      <c r="C32" s="279"/>
      <c r="D32" s="43"/>
      <c r="E32" s="16"/>
      <c r="F32" s="44"/>
      <c r="G32" s="44"/>
      <c r="H32" s="45"/>
    </row>
    <row r="33" spans="1:8">
      <c r="A33" s="39" t="s">
        <v>43</v>
      </c>
      <c r="B33" s="280" t="s">
        <v>146</v>
      </c>
      <c r="C33" s="280"/>
      <c r="D33" s="47"/>
      <c r="E33" s="16"/>
      <c r="F33" s="41"/>
      <c r="G33" s="41"/>
      <c r="H33" s="42"/>
    </row>
    <row r="34" spans="1:8" ht="15.75" thickBot="1">
      <c r="A34" s="48"/>
      <c r="B34" s="281" t="s">
        <v>45</v>
      </c>
      <c r="C34" s="281"/>
      <c r="D34" s="49">
        <f>SUM(D28:D33)</f>
        <v>2103.1999999999998</v>
      </c>
      <c r="E34" s="49">
        <f t="shared" ref="E34:G34" si="0">SUM(E28:E33)</f>
        <v>1848</v>
      </c>
      <c r="F34" s="49">
        <f t="shared" si="0"/>
        <v>1848</v>
      </c>
      <c r="G34" s="49">
        <f t="shared" si="0"/>
        <v>1639</v>
      </c>
      <c r="H34" s="50">
        <f t="shared" ref="H34" si="1">SUM(H28:H33)</f>
        <v>1848</v>
      </c>
    </row>
    <row r="35" spans="1:8" ht="15.75" thickBot="1">
      <c r="A35" s="12"/>
      <c r="B35" s="270"/>
      <c r="C35" s="270"/>
      <c r="D35" s="270"/>
      <c r="E35" s="13"/>
    </row>
    <row r="36" spans="1:8" ht="30">
      <c r="A36" s="271" t="s">
        <v>46</v>
      </c>
      <c r="B36" s="272"/>
      <c r="C36" s="272"/>
      <c r="D36" s="34" t="s">
        <v>181</v>
      </c>
      <c r="E36" s="35" t="s">
        <v>182</v>
      </c>
      <c r="F36" s="35" t="s">
        <v>183</v>
      </c>
      <c r="G36" s="35" t="s">
        <v>184</v>
      </c>
      <c r="H36" s="178" t="s">
        <v>171</v>
      </c>
    </row>
    <row r="37" spans="1:8" ht="27.75" customHeight="1">
      <c r="A37" s="273" t="s">
        <v>47</v>
      </c>
      <c r="B37" s="274"/>
      <c r="C37" s="51"/>
      <c r="D37" s="37" t="s">
        <v>33</v>
      </c>
      <c r="E37" s="37" t="s">
        <v>33</v>
      </c>
      <c r="F37" s="37" t="s">
        <v>33</v>
      </c>
      <c r="G37" s="37" t="s">
        <v>33</v>
      </c>
      <c r="H37" s="38" t="s">
        <v>33</v>
      </c>
    </row>
    <row r="38" spans="1:8">
      <c r="A38" s="39" t="s">
        <v>34</v>
      </c>
      <c r="B38" s="53" t="s">
        <v>51</v>
      </c>
      <c r="C38" s="53"/>
      <c r="D38" s="54">
        <f>D34*8.33%</f>
        <v>175.19655999999998</v>
      </c>
      <c r="E38" s="54">
        <f>E34*8.33%</f>
        <v>153.9384</v>
      </c>
      <c r="F38" s="54">
        <f t="shared" ref="F38:G38" si="2">F34*8.33%</f>
        <v>153.9384</v>
      </c>
      <c r="G38" s="54">
        <f t="shared" si="2"/>
        <v>136.52869999999999</v>
      </c>
      <c r="H38" s="186">
        <f t="shared" ref="H38" si="3">H34*8.33%</f>
        <v>153.9384</v>
      </c>
    </row>
    <row r="39" spans="1:8">
      <c r="A39" s="39" t="s">
        <v>36</v>
      </c>
      <c r="B39" s="53" t="s">
        <v>52</v>
      </c>
      <c r="C39" s="53"/>
      <c r="D39" s="54">
        <f>D34*12.1%</f>
        <v>254.48719999999997</v>
      </c>
      <c r="E39" s="54">
        <f>E34*12.1%</f>
        <v>223.608</v>
      </c>
      <c r="F39" s="54">
        <f t="shared" ref="F39:G39" si="4">F34*12.1%</f>
        <v>223.608</v>
      </c>
      <c r="G39" s="54">
        <f t="shared" si="4"/>
        <v>198.31899999999999</v>
      </c>
      <c r="H39" s="186">
        <f t="shared" ref="H39" si="5">H34*12.1%</f>
        <v>223.608</v>
      </c>
    </row>
    <row r="40" spans="1:8">
      <c r="A40" s="39"/>
      <c r="B40" s="51" t="s">
        <v>53</v>
      </c>
      <c r="C40" s="51"/>
      <c r="D40" s="55">
        <f>SUM(D38:D39)</f>
        <v>429.68375999999995</v>
      </c>
      <c r="E40" s="55">
        <f>SUM(E38:E39)</f>
        <v>377.54640000000001</v>
      </c>
      <c r="F40" s="55">
        <f t="shared" ref="F40:G40" si="6">SUM(F38:F39)</f>
        <v>377.54640000000001</v>
      </c>
      <c r="G40" s="55">
        <f t="shared" si="6"/>
        <v>334.84769999999997</v>
      </c>
      <c r="H40" s="188">
        <f t="shared" ref="H40" si="7">SUM(H38:H39)</f>
        <v>377.54640000000001</v>
      </c>
    </row>
    <row r="41" spans="1:8" ht="60.75" thickBot="1">
      <c r="A41" s="112" t="s">
        <v>38</v>
      </c>
      <c r="B41" s="113" t="s">
        <v>54</v>
      </c>
      <c r="C41" s="113"/>
      <c r="D41" s="114">
        <f>D34*7.82%</f>
        <v>164.47023999999999</v>
      </c>
      <c r="E41" s="114">
        <f>E34*7.82%</f>
        <v>144.5136</v>
      </c>
      <c r="F41" s="114">
        <f t="shared" ref="F41:G41" si="8">F34*7.82%</f>
        <v>144.5136</v>
      </c>
      <c r="G41" s="114">
        <f t="shared" si="8"/>
        <v>128.16980000000001</v>
      </c>
      <c r="H41" s="197">
        <f t="shared" ref="H41" si="9">H34*7.82%</f>
        <v>144.5136</v>
      </c>
    </row>
    <row r="42" spans="1:8" ht="15.75" thickBot="1">
      <c r="A42" s="12"/>
      <c r="B42" s="12"/>
      <c r="C42" s="12"/>
      <c r="D42" s="12"/>
      <c r="E42" s="13"/>
    </row>
    <row r="43" spans="1:8" ht="32.450000000000003" customHeight="1">
      <c r="A43" s="275" t="s">
        <v>55</v>
      </c>
      <c r="B43" s="276"/>
      <c r="C43" s="276"/>
      <c r="D43" s="34" t="s">
        <v>181</v>
      </c>
      <c r="E43" s="35" t="s">
        <v>182</v>
      </c>
      <c r="F43" s="35" t="s">
        <v>183</v>
      </c>
      <c r="G43" s="35" t="s">
        <v>184</v>
      </c>
      <c r="H43" s="178" t="s">
        <v>171</v>
      </c>
    </row>
    <row r="44" spans="1:8">
      <c r="A44" s="36" t="s">
        <v>56</v>
      </c>
      <c r="B44" s="56" t="s">
        <v>57</v>
      </c>
      <c r="C44" s="57" t="s">
        <v>58</v>
      </c>
      <c r="D44" s="58" t="s">
        <v>33</v>
      </c>
      <c r="E44" s="58" t="s">
        <v>33</v>
      </c>
      <c r="F44" s="58" t="s">
        <v>33</v>
      </c>
      <c r="G44" s="58" t="s">
        <v>33</v>
      </c>
      <c r="H44" s="185" t="s">
        <v>33</v>
      </c>
    </row>
    <row r="45" spans="1:8">
      <c r="A45" s="39" t="s">
        <v>34</v>
      </c>
      <c r="B45" s="59" t="s">
        <v>59</v>
      </c>
      <c r="C45" s="60">
        <v>20</v>
      </c>
      <c r="D45" s="54">
        <f>(D34*($C$45/100))</f>
        <v>420.64</v>
      </c>
      <c r="E45" s="54">
        <f t="shared" ref="E45:G45" si="10">(E34*($C$45/100))</f>
        <v>369.6</v>
      </c>
      <c r="F45" s="54">
        <f t="shared" si="10"/>
        <v>369.6</v>
      </c>
      <c r="G45" s="54">
        <f t="shared" si="10"/>
        <v>327.8</v>
      </c>
      <c r="H45" s="186">
        <f t="shared" ref="H45" si="11">(H34*($C$45/100))</f>
        <v>369.6</v>
      </c>
    </row>
    <row r="46" spans="1:8">
      <c r="A46" s="39" t="s">
        <v>36</v>
      </c>
      <c r="B46" s="61" t="s">
        <v>60</v>
      </c>
      <c r="C46" s="62">
        <v>2.5</v>
      </c>
      <c r="D46" s="63">
        <f>(D34*($C$46/100))</f>
        <v>52.58</v>
      </c>
      <c r="E46" s="63">
        <f t="shared" ref="E46:G46" si="12">(E34*($C$46/100))</f>
        <v>46.2</v>
      </c>
      <c r="F46" s="63">
        <f t="shared" si="12"/>
        <v>46.2</v>
      </c>
      <c r="G46" s="63">
        <f t="shared" si="12"/>
        <v>40.975000000000001</v>
      </c>
      <c r="H46" s="196">
        <f t="shared" ref="H46" si="13">(H34*($C$46/100))</f>
        <v>46.2</v>
      </c>
    </row>
    <row r="47" spans="1:8">
      <c r="A47" s="39" t="s">
        <v>38</v>
      </c>
      <c r="B47" s="59" t="s">
        <v>61</v>
      </c>
      <c r="C47" s="60">
        <v>6</v>
      </c>
      <c r="D47" s="54">
        <f>(D$34*($C$47/100))</f>
        <v>126.19199999999998</v>
      </c>
      <c r="E47" s="54">
        <f t="shared" ref="E47:H47" si="14">(E$34*($C$47/100))</f>
        <v>110.88</v>
      </c>
      <c r="F47" s="54">
        <f t="shared" si="14"/>
        <v>110.88</v>
      </c>
      <c r="G47" s="54">
        <f t="shared" si="14"/>
        <v>98.34</v>
      </c>
      <c r="H47" s="186">
        <f t="shared" si="14"/>
        <v>110.88</v>
      </c>
    </row>
    <row r="48" spans="1:8">
      <c r="A48" s="39" t="s">
        <v>39</v>
      </c>
      <c r="B48" s="61" t="s">
        <v>62</v>
      </c>
      <c r="C48" s="62">
        <v>1.5</v>
      </c>
      <c r="D48" s="54">
        <f>(D$34*($C$48/100))</f>
        <v>31.547999999999995</v>
      </c>
      <c r="E48" s="54">
        <f t="shared" ref="E48:H48" si="15">(E$34*($C$48/100))</f>
        <v>27.72</v>
      </c>
      <c r="F48" s="54">
        <f t="shared" si="15"/>
        <v>27.72</v>
      </c>
      <c r="G48" s="54">
        <f t="shared" si="15"/>
        <v>24.585000000000001</v>
      </c>
      <c r="H48" s="186">
        <f t="shared" si="15"/>
        <v>27.72</v>
      </c>
    </row>
    <row r="49" spans="1:8">
      <c r="A49" s="39" t="s">
        <v>41</v>
      </c>
      <c r="B49" s="61" t="s">
        <v>63</v>
      </c>
      <c r="C49" s="62">
        <v>1</v>
      </c>
      <c r="D49" s="54">
        <f>(D$34*($C$49/100))</f>
        <v>21.032</v>
      </c>
      <c r="E49" s="54">
        <f t="shared" ref="E49:H49" si="16">(E$34*($C$49/100))</f>
        <v>18.48</v>
      </c>
      <c r="F49" s="54">
        <f t="shared" si="16"/>
        <v>18.48</v>
      </c>
      <c r="G49" s="54">
        <f t="shared" si="16"/>
        <v>16.39</v>
      </c>
      <c r="H49" s="186">
        <f t="shared" si="16"/>
        <v>18.48</v>
      </c>
    </row>
    <row r="50" spans="1:8">
      <c r="A50" s="39" t="s">
        <v>43</v>
      </c>
      <c r="B50" s="61" t="s">
        <v>64</v>
      </c>
      <c r="C50" s="62">
        <v>0.6</v>
      </c>
      <c r="D50" s="54">
        <f>(D$34*($C$50/100))</f>
        <v>12.619199999999999</v>
      </c>
      <c r="E50" s="54">
        <f t="shared" ref="E50:H50" si="17">(E$34*($C$50/100))</f>
        <v>11.088000000000001</v>
      </c>
      <c r="F50" s="54">
        <f t="shared" si="17"/>
        <v>11.088000000000001</v>
      </c>
      <c r="G50" s="54">
        <f t="shared" si="17"/>
        <v>9.8339999999999996</v>
      </c>
      <c r="H50" s="186">
        <f t="shared" si="17"/>
        <v>11.088000000000001</v>
      </c>
    </row>
    <row r="51" spans="1:8">
      <c r="A51" s="39" t="s">
        <v>65</v>
      </c>
      <c r="B51" s="61" t="s">
        <v>66</v>
      </c>
      <c r="C51" s="62">
        <v>0.2</v>
      </c>
      <c r="D51" s="54">
        <f>(D$34*($C$51/100))</f>
        <v>4.2063999999999995</v>
      </c>
      <c r="E51" s="54">
        <f t="shared" ref="E51:H51" si="18">(E$34*($C$51/100))</f>
        <v>3.6960000000000002</v>
      </c>
      <c r="F51" s="54">
        <f t="shared" si="18"/>
        <v>3.6960000000000002</v>
      </c>
      <c r="G51" s="54">
        <f t="shared" si="18"/>
        <v>3.278</v>
      </c>
      <c r="H51" s="186">
        <f t="shared" si="18"/>
        <v>3.6960000000000002</v>
      </c>
    </row>
    <row r="52" spans="1:8">
      <c r="A52" s="39" t="s">
        <v>67</v>
      </c>
      <c r="B52" s="59" t="s">
        <v>68</v>
      </c>
      <c r="C52" s="60">
        <v>8</v>
      </c>
      <c r="D52" s="54">
        <f>(D$34*($C$52/100))</f>
        <v>168.256</v>
      </c>
      <c r="E52" s="54">
        <f t="shared" ref="E52:H52" si="19">(E$34*($C$52/100))</f>
        <v>147.84</v>
      </c>
      <c r="F52" s="54">
        <f t="shared" si="19"/>
        <v>147.84</v>
      </c>
      <c r="G52" s="54">
        <f t="shared" si="19"/>
        <v>131.12</v>
      </c>
      <c r="H52" s="186">
        <f t="shared" si="19"/>
        <v>147.84</v>
      </c>
    </row>
    <row r="53" spans="1:8" ht="15.75" thickBot="1">
      <c r="A53" s="48"/>
      <c r="B53" s="109" t="s">
        <v>69</v>
      </c>
      <c r="C53" s="111">
        <f>SUM(C45:C52)</f>
        <v>39.799999999999997</v>
      </c>
      <c r="D53" s="102">
        <f>SUM(D45:D52)</f>
        <v>837.07359999999994</v>
      </c>
      <c r="E53" s="102">
        <f>SUM(E45:E52)</f>
        <v>735.50400000000013</v>
      </c>
      <c r="F53" s="102">
        <f t="shared" ref="F53:G53" si="20">SUM(F45:F52)</f>
        <v>735.50400000000013</v>
      </c>
      <c r="G53" s="102">
        <f t="shared" si="20"/>
        <v>652.322</v>
      </c>
      <c r="H53" s="187">
        <f t="shared" ref="H53" si="21">SUM(H45:H52)</f>
        <v>735.50400000000013</v>
      </c>
    </row>
    <row r="54" spans="1:8">
      <c r="A54" s="64"/>
      <c r="B54" s="65" t="s">
        <v>70</v>
      </c>
      <c r="C54" s="64"/>
      <c r="D54" s="64"/>
      <c r="E54" s="13"/>
    </row>
    <row r="55" spans="1:8" ht="15.75" thickBot="1">
      <c r="A55" s="64"/>
      <c r="B55" s="65"/>
      <c r="C55" s="64"/>
      <c r="D55" s="64"/>
      <c r="E55" s="13"/>
    </row>
    <row r="56" spans="1:8" ht="30">
      <c r="A56" s="277" t="s">
        <v>71</v>
      </c>
      <c r="B56" s="278"/>
      <c r="C56" s="278"/>
      <c r="D56" s="34" t="s">
        <v>181</v>
      </c>
      <c r="E56" s="35" t="s">
        <v>182</v>
      </c>
      <c r="F56" s="35" t="s">
        <v>183</v>
      </c>
      <c r="G56" s="35" t="s">
        <v>184</v>
      </c>
      <c r="H56" s="178" t="s">
        <v>171</v>
      </c>
    </row>
    <row r="57" spans="1:8">
      <c r="A57" s="36" t="s">
        <v>72</v>
      </c>
      <c r="B57" s="250" t="s">
        <v>73</v>
      </c>
      <c r="C57" s="250"/>
      <c r="D57" s="37" t="s">
        <v>33</v>
      </c>
      <c r="E57" s="37" t="s">
        <v>33</v>
      </c>
      <c r="F57" s="37" t="s">
        <v>33</v>
      </c>
      <c r="G57" s="37" t="s">
        <v>33</v>
      </c>
      <c r="H57" s="38" t="s">
        <v>33</v>
      </c>
    </row>
    <row r="58" spans="1:8">
      <c r="A58" s="39" t="s">
        <v>34</v>
      </c>
      <c r="B58" s="282" t="s">
        <v>240</v>
      </c>
      <c r="C58" s="282"/>
      <c r="D58" s="66">
        <f>(4.45*4*A20)-(6%*D20)</f>
        <v>245.47200000000001</v>
      </c>
      <c r="E58" s="66">
        <f>(4.45*4*A21)-(6%*D21)</f>
        <v>260.78399999999999</v>
      </c>
      <c r="F58" s="66">
        <f>(4.45*4*A22)-(6%*D22)</f>
        <v>260.78399999999999</v>
      </c>
      <c r="G58" s="66">
        <f>(4.45*4*A23)-(6%*D23)</f>
        <v>273.32399999999996</v>
      </c>
      <c r="H58" s="193">
        <f>(4.45*4*A24)-(6%*D24)</f>
        <v>260.78399999999999</v>
      </c>
    </row>
    <row r="59" spans="1:8">
      <c r="A59" s="39" t="s">
        <v>36</v>
      </c>
      <c r="B59" s="251" t="s">
        <v>237</v>
      </c>
      <c r="C59" s="251"/>
      <c r="D59" s="67"/>
      <c r="E59" s="67"/>
      <c r="F59" s="67"/>
      <c r="G59" s="67"/>
      <c r="H59" s="194"/>
    </row>
    <row r="60" spans="1:8">
      <c r="A60" s="39" t="s">
        <v>38</v>
      </c>
      <c r="B60" s="251" t="s">
        <v>238</v>
      </c>
      <c r="C60" s="251"/>
      <c r="D60" s="66">
        <v>59.63</v>
      </c>
      <c r="E60" s="66">
        <v>59.63</v>
      </c>
      <c r="F60" s="66">
        <v>59.63</v>
      </c>
      <c r="G60" s="66">
        <v>59.63</v>
      </c>
      <c r="H60" s="193">
        <v>59.63</v>
      </c>
    </row>
    <row r="61" spans="1:8">
      <c r="A61" s="39" t="s">
        <v>39</v>
      </c>
      <c r="B61" s="251" t="s">
        <v>239</v>
      </c>
      <c r="C61" s="251"/>
      <c r="D61" s="66">
        <v>31</v>
      </c>
      <c r="E61" s="66">
        <v>31</v>
      </c>
      <c r="F61" s="66">
        <v>31</v>
      </c>
      <c r="G61" s="66">
        <v>31</v>
      </c>
      <c r="H61" s="193">
        <v>17</v>
      </c>
    </row>
    <row r="62" spans="1:8">
      <c r="A62" s="140" t="s">
        <v>41</v>
      </c>
      <c r="B62" s="283" t="s">
        <v>241</v>
      </c>
      <c r="C62" s="284"/>
      <c r="D62" s="66">
        <f>255-29.9</f>
        <v>225.1</v>
      </c>
      <c r="E62" s="66">
        <f t="shared" ref="E62:H62" si="22">255-29.9</f>
        <v>225.1</v>
      </c>
      <c r="F62" s="66">
        <f t="shared" si="22"/>
        <v>225.1</v>
      </c>
      <c r="G62" s="66">
        <f t="shared" si="22"/>
        <v>225.1</v>
      </c>
      <c r="H62" s="193">
        <f t="shared" si="22"/>
        <v>225.1</v>
      </c>
    </row>
    <row r="63" spans="1:8">
      <c r="A63" s="140" t="s">
        <v>43</v>
      </c>
      <c r="B63" s="283" t="s">
        <v>242</v>
      </c>
      <c r="C63" s="284"/>
      <c r="D63" s="141">
        <f>(255-29.9)/12</f>
        <v>18.758333333333333</v>
      </c>
      <c r="E63" s="141">
        <f t="shared" ref="E63:H63" si="23">(255-29.9)/12</f>
        <v>18.758333333333333</v>
      </c>
      <c r="F63" s="141">
        <f t="shared" si="23"/>
        <v>18.758333333333333</v>
      </c>
      <c r="G63" s="141">
        <f t="shared" si="23"/>
        <v>18.758333333333333</v>
      </c>
      <c r="H63" s="195">
        <f t="shared" si="23"/>
        <v>18.758333333333333</v>
      </c>
    </row>
    <row r="64" spans="1:8" ht="15.75" thickBot="1">
      <c r="A64" s="48"/>
      <c r="B64" s="281" t="s">
        <v>74</v>
      </c>
      <c r="C64" s="281"/>
      <c r="D64" s="49">
        <f>SUM(D58:D63)</f>
        <v>579.96033333333332</v>
      </c>
      <c r="E64" s="49">
        <f t="shared" ref="E64:H64" si="24">SUM(E58:E63)</f>
        <v>595.27233333333334</v>
      </c>
      <c r="F64" s="49">
        <f t="shared" si="24"/>
        <v>595.27233333333334</v>
      </c>
      <c r="G64" s="49">
        <f t="shared" si="24"/>
        <v>607.8123333333333</v>
      </c>
      <c r="H64" s="50">
        <f t="shared" si="24"/>
        <v>581.27233333333334</v>
      </c>
    </row>
    <row r="65" spans="1:8" ht="15.75" thickBot="1">
      <c r="A65" s="64"/>
      <c r="B65" s="69"/>
      <c r="C65" s="70"/>
      <c r="D65" s="70"/>
      <c r="E65" s="13"/>
    </row>
    <row r="66" spans="1:8" ht="30">
      <c r="A66" s="271" t="s">
        <v>75</v>
      </c>
      <c r="B66" s="272"/>
      <c r="C66" s="272"/>
      <c r="D66" s="34" t="s">
        <v>181</v>
      </c>
      <c r="E66" s="35" t="s">
        <v>182</v>
      </c>
      <c r="F66" s="35" t="s">
        <v>183</v>
      </c>
      <c r="G66" s="35" t="s">
        <v>184</v>
      </c>
      <c r="H66" s="178" t="s">
        <v>171</v>
      </c>
    </row>
    <row r="67" spans="1:8">
      <c r="A67" s="100">
        <v>2</v>
      </c>
      <c r="B67" s="250" t="s">
        <v>76</v>
      </c>
      <c r="C67" s="250"/>
      <c r="D67" s="71" t="s">
        <v>50</v>
      </c>
      <c r="E67" s="71" t="s">
        <v>50</v>
      </c>
      <c r="F67" s="71" t="s">
        <v>50</v>
      </c>
      <c r="G67" s="71" t="s">
        <v>50</v>
      </c>
      <c r="H67" s="180" t="s">
        <v>50</v>
      </c>
    </row>
    <row r="68" spans="1:8">
      <c r="A68" s="100" t="s">
        <v>48</v>
      </c>
      <c r="B68" s="251" t="s">
        <v>49</v>
      </c>
      <c r="C68" s="251"/>
      <c r="D68" s="68">
        <f t="shared" ref="D68:G68" si="25">D40</f>
        <v>429.68375999999995</v>
      </c>
      <c r="E68" s="68">
        <f t="shared" si="25"/>
        <v>377.54640000000001</v>
      </c>
      <c r="F68" s="68">
        <f t="shared" si="25"/>
        <v>377.54640000000001</v>
      </c>
      <c r="G68" s="68">
        <f t="shared" si="25"/>
        <v>334.84769999999997</v>
      </c>
      <c r="H68" s="181">
        <f t="shared" ref="H68" si="26">H40</f>
        <v>377.54640000000001</v>
      </c>
    </row>
    <row r="69" spans="1:8">
      <c r="A69" s="100" t="s">
        <v>56</v>
      </c>
      <c r="B69" s="251" t="s">
        <v>57</v>
      </c>
      <c r="C69" s="251"/>
      <c r="D69" s="68">
        <f t="shared" ref="D69:G69" si="27">D53+D41</f>
        <v>1001.5438399999999</v>
      </c>
      <c r="E69" s="68">
        <f t="shared" si="27"/>
        <v>880.01760000000013</v>
      </c>
      <c r="F69" s="68">
        <f t="shared" si="27"/>
        <v>880.01760000000013</v>
      </c>
      <c r="G69" s="68">
        <f t="shared" si="27"/>
        <v>780.49180000000001</v>
      </c>
      <c r="H69" s="181">
        <f t="shared" ref="H69" si="28">H53+H41</f>
        <v>880.01760000000013</v>
      </c>
    </row>
    <row r="70" spans="1:8">
      <c r="A70" s="100" t="s">
        <v>72</v>
      </c>
      <c r="B70" s="251" t="s">
        <v>73</v>
      </c>
      <c r="C70" s="251"/>
      <c r="D70" s="68">
        <f t="shared" ref="D70:G70" si="29">D64</f>
        <v>579.96033333333332</v>
      </c>
      <c r="E70" s="68">
        <f t="shared" si="29"/>
        <v>595.27233333333334</v>
      </c>
      <c r="F70" s="68">
        <f t="shared" si="29"/>
        <v>595.27233333333334</v>
      </c>
      <c r="G70" s="68">
        <f t="shared" si="29"/>
        <v>607.8123333333333</v>
      </c>
      <c r="H70" s="181">
        <f t="shared" ref="H70" si="30">H64</f>
        <v>581.27233333333334</v>
      </c>
    </row>
    <row r="71" spans="1:8" ht="15.75" thickBot="1">
      <c r="A71" s="101"/>
      <c r="B71" s="281" t="s">
        <v>53</v>
      </c>
      <c r="C71" s="281"/>
      <c r="D71" s="49">
        <f t="shared" ref="D71:G71" si="31">SUM(D68:D70)</f>
        <v>2011.1879333333331</v>
      </c>
      <c r="E71" s="49">
        <f t="shared" si="31"/>
        <v>1852.8363333333334</v>
      </c>
      <c r="F71" s="49">
        <f t="shared" si="31"/>
        <v>1852.8363333333334</v>
      </c>
      <c r="G71" s="49">
        <f t="shared" si="31"/>
        <v>1723.1518333333333</v>
      </c>
      <c r="H71" s="50">
        <f t="shared" ref="H71" si="32">SUM(H68:H70)</f>
        <v>1838.8363333333334</v>
      </c>
    </row>
    <row r="72" spans="1:8" ht="15.75" thickBot="1">
      <c r="A72" s="12"/>
      <c r="B72" s="72"/>
      <c r="C72" s="70"/>
      <c r="D72" s="70"/>
      <c r="E72" s="13"/>
    </row>
    <row r="73" spans="1:8" ht="30">
      <c r="A73" s="271" t="s">
        <v>77</v>
      </c>
      <c r="B73" s="272"/>
      <c r="C73" s="272"/>
      <c r="D73" s="34" t="s">
        <v>181</v>
      </c>
      <c r="E73" s="35" t="s">
        <v>182</v>
      </c>
      <c r="F73" s="35" t="s">
        <v>183</v>
      </c>
      <c r="G73" s="35" t="s">
        <v>184</v>
      </c>
      <c r="H73" s="178" t="s">
        <v>171</v>
      </c>
    </row>
    <row r="74" spans="1:8">
      <c r="A74" s="36">
        <v>3</v>
      </c>
      <c r="B74" s="274" t="s">
        <v>78</v>
      </c>
      <c r="C74" s="274"/>
      <c r="D74" s="58" t="s">
        <v>33</v>
      </c>
      <c r="E74" s="58" t="s">
        <v>33</v>
      </c>
      <c r="F74" s="58" t="s">
        <v>33</v>
      </c>
      <c r="G74" s="58" t="s">
        <v>33</v>
      </c>
      <c r="H74" s="185" t="s">
        <v>33</v>
      </c>
    </row>
    <row r="75" spans="1:8">
      <c r="A75" s="39" t="s">
        <v>34</v>
      </c>
      <c r="B75" s="279" t="s">
        <v>79</v>
      </c>
      <c r="C75" s="279"/>
      <c r="D75" s="73">
        <f t="shared" ref="D75:G75" si="33">((D34+D38+D39)/12)*5%</f>
        <v>10.553682333333333</v>
      </c>
      <c r="E75" s="73">
        <f t="shared" si="33"/>
        <v>9.2731100000000009</v>
      </c>
      <c r="F75" s="73">
        <f t="shared" si="33"/>
        <v>9.2731100000000009</v>
      </c>
      <c r="G75" s="73">
        <f t="shared" si="33"/>
        <v>8.224365416666668</v>
      </c>
      <c r="H75" s="191">
        <f t="shared" ref="H75" si="34">((H34+H38+H39)/12)*5%</f>
        <v>9.2731100000000009</v>
      </c>
    </row>
    <row r="76" spans="1:8">
      <c r="A76" s="39" t="s">
        <v>36</v>
      </c>
      <c r="B76" s="279" t="s">
        <v>80</v>
      </c>
      <c r="C76" s="279"/>
      <c r="D76" s="74">
        <f t="shared" ref="D76:G76" si="35">((D34+D38)/12)*5%*8%</f>
        <v>0.75946551999999989</v>
      </c>
      <c r="E76" s="74">
        <f t="shared" si="35"/>
        <v>0.66731280000000015</v>
      </c>
      <c r="F76" s="74">
        <f t="shared" si="35"/>
        <v>0.66731280000000015</v>
      </c>
      <c r="G76" s="74">
        <f t="shared" si="35"/>
        <v>0.59184290000000006</v>
      </c>
      <c r="H76" s="190">
        <f t="shared" ref="H76" si="36">((H34+H38)/12)*5%*8%</f>
        <v>0.66731280000000015</v>
      </c>
    </row>
    <row r="77" spans="1:8">
      <c r="A77" s="39" t="s">
        <v>38</v>
      </c>
      <c r="B77" s="279" t="s">
        <v>81</v>
      </c>
      <c r="C77" s="279"/>
      <c r="D77" s="74">
        <v>0</v>
      </c>
      <c r="E77" s="74">
        <v>0</v>
      </c>
      <c r="F77" s="74">
        <v>0</v>
      </c>
      <c r="G77" s="74">
        <v>0</v>
      </c>
      <c r="H77" s="190">
        <v>0</v>
      </c>
    </row>
    <row r="78" spans="1:8">
      <c r="A78" s="39" t="s">
        <v>39</v>
      </c>
      <c r="B78" s="279" t="s">
        <v>82</v>
      </c>
      <c r="C78" s="279"/>
      <c r="D78" s="54">
        <f>(((D34+D60+D61)/30/12)*7)</f>
        <v>42.657805555555562</v>
      </c>
      <c r="E78" s="54">
        <f t="shared" ref="E78:H78" si="37">(((E34+E60+E61)/30/12)*7)</f>
        <v>37.695583333333339</v>
      </c>
      <c r="F78" s="54">
        <f t="shared" si="37"/>
        <v>37.695583333333339</v>
      </c>
      <c r="G78" s="54">
        <f t="shared" si="37"/>
        <v>33.631694444444442</v>
      </c>
      <c r="H78" s="54">
        <f t="shared" si="37"/>
        <v>37.42336111111112</v>
      </c>
    </row>
    <row r="79" spans="1:8" ht="24" customHeight="1">
      <c r="A79" s="39" t="s">
        <v>41</v>
      </c>
      <c r="B79" s="279" t="s">
        <v>83</v>
      </c>
      <c r="C79" s="279"/>
      <c r="D79" s="75">
        <f t="shared" ref="D79:G79" si="38">(D34/30/12*7)*8%</f>
        <v>3.2716444444444441</v>
      </c>
      <c r="E79" s="75">
        <f t="shared" si="38"/>
        <v>2.8746666666666671</v>
      </c>
      <c r="F79" s="75">
        <f t="shared" si="38"/>
        <v>2.8746666666666671</v>
      </c>
      <c r="G79" s="75">
        <f t="shared" si="38"/>
        <v>2.549555555555556</v>
      </c>
      <c r="H79" s="192">
        <f t="shared" ref="H79" si="39">(H34/30/12*7)*8%</f>
        <v>2.8746666666666671</v>
      </c>
    </row>
    <row r="80" spans="1:8">
      <c r="A80" s="39" t="s">
        <v>43</v>
      </c>
      <c r="B80" s="279" t="s">
        <v>84</v>
      </c>
      <c r="C80" s="279"/>
      <c r="D80" s="74">
        <f t="shared" ref="D80:G80" si="40">D34*4%</f>
        <v>84.128</v>
      </c>
      <c r="E80" s="74">
        <f t="shared" si="40"/>
        <v>73.92</v>
      </c>
      <c r="F80" s="74">
        <f t="shared" si="40"/>
        <v>73.92</v>
      </c>
      <c r="G80" s="74">
        <f t="shared" si="40"/>
        <v>65.56</v>
      </c>
      <c r="H80" s="190">
        <f t="shared" ref="H80" si="41">H34*4%</f>
        <v>73.92</v>
      </c>
    </row>
    <row r="81" spans="1:8" ht="15.75" thickBot="1">
      <c r="A81" s="48"/>
      <c r="B81" s="285" t="s">
        <v>69</v>
      </c>
      <c r="C81" s="285"/>
      <c r="D81" s="102">
        <f t="shared" ref="D81:G81" si="42">SUM(D75:D80)</f>
        <v>141.37059785333332</v>
      </c>
      <c r="E81" s="102">
        <f t="shared" si="42"/>
        <v>124.43067280000001</v>
      </c>
      <c r="F81" s="102">
        <f t="shared" si="42"/>
        <v>124.43067280000001</v>
      </c>
      <c r="G81" s="102">
        <f t="shared" si="42"/>
        <v>110.55745831666667</v>
      </c>
      <c r="H81" s="187">
        <f t="shared" ref="H81" si="43">SUM(H75:H80)</f>
        <v>124.15845057777778</v>
      </c>
    </row>
    <row r="82" spans="1:8" ht="15.75" thickBot="1">
      <c r="A82" s="12"/>
      <c r="B82" s="12"/>
      <c r="C82" s="12"/>
      <c r="D82" s="12"/>
      <c r="E82" s="13"/>
    </row>
    <row r="83" spans="1:8" ht="30">
      <c r="A83" s="271" t="s">
        <v>85</v>
      </c>
      <c r="B83" s="272"/>
      <c r="C83" s="272"/>
      <c r="D83" s="34" t="s">
        <v>181</v>
      </c>
      <c r="E83" s="35" t="s">
        <v>182</v>
      </c>
      <c r="F83" s="35" t="s">
        <v>183</v>
      </c>
      <c r="G83" s="35" t="s">
        <v>184</v>
      </c>
      <c r="H83" s="178" t="s">
        <v>171</v>
      </c>
    </row>
    <row r="84" spans="1:8">
      <c r="A84" s="36" t="s">
        <v>86</v>
      </c>
      <c r="B84" s="274" t="s">
        <v>147</v>
      </c>
      <c r="C84" s="274"/>
      <c r="D84" s="58" t="s">
        <v>33</v>
      </c>
      <c r="E84" s="58" t="s">
        <v>33</v>
      </c>
      <c r="F84" s="58" t="s">
        <v>33</v>
      </c>
      <c r="G84" s="58" t="s">
        <v>33</v>
      </c>
      <c r="H84" s="185" t="s">
        <v>33</v>
      </c>
    </row>
    <row r="85" spans="1:8">
      <c r="A85" s="39" t="s">
        <v>34</v>
      </c>
      <c r="B85" s="286" t="s">
        <v>88</v>
      </c>
      <c r="C85" s="286"/>
      <c r="D85" s="74">
        <v>0</v>
      </c>
      <c r="E85" s="74">
        <v>0</v>
      </c>
      <c r="F85" s="74">
        <v>0</v>
      </c>
      <c r="G85" s="74">
        <v>0</v>
      </c>
      <c r="H85" s="190">
        <v>0</v>
      </c>
    </row>
    <row r="86" spans="1:8">
      <c r="A86" s="39" t="s">
        <v>36</v>
      </c>
      <c r="B86" s="286" t="s">
        <v>89</v>
      </c>
      <c r="C86" s="286"/>
      <c r="D86" s="74">
        <f>(((D34+D71+D81+D89+D109)-(D58-D59-D107))/30*2.96)/12</f>
        <v>33.750733088031964</v>
      </c>
      <c r="E86" s="74">
        <f t="shared" ref="E86:H86" si="44">(((E34+E71+E81+E89+E109)-(E58-E59-E107))/30*2.96)/12</f>
        <v>30.047828021602147</v>
      </c>
      <c r="F86" s="74">
        <f t="shared" si="44"/>
        <v>30.556783577157699</v>
      </c>
      <c r="G86" s="74">
        <f t="shared" si="44"/>
        <v>27.013384402383597</v>
      </c>
      <c r="H86" s="190">
        <f t="shared" si="44"/>
        <v>29.865824564812016</v>
      </c>
    </row>
    <row r="87" spans="1:8">
      <c r="A87" s="39" t="s">
        <v>38</v>
      </c>
      <c r="B87" s="286" t="s">
        <v>90</v>
      </c>
      <c r="C87" s="286"/>
      <c r="D87" s="74">
        <f>(((D34+D71+D81+D89+D109)-(D58-D59-D107))/30*5*1.5%)/12</f>
        <v>0.85517060189270178</v>
      </c>
      <c r="E87" s="74">
        <f>(((E34+E71+E81+E89+E109)-(E58-E59-E107))/30*5*1.5%)/12</f>
        <v>0.76134699379059489</v>
      </c>
      <c r="F87" s="74">
        <f t="shared" ref="F87:H87" si="45">(((F34+F71+F81+F89+F109)-(F58-F59-F107))/30*5*1.5%)/12</f>
        <v>0.77424282712392822</v>
      </c>
      <c r="G87" s="74">
        <f t="shared" si="45"/>
        <v>0.68446075343877355</v>
      </c>
      <c r="H87" s="190">
        <f t="shared" si="45"/>
        <v>0.7567354197165207</v>
      </c>
    </row>
    <row r="88" spans="1:8">
      <c r="A88" s="39" t="s">
        <v>39</v>
      </c>
      <c r="B88" s="286" t="s">
        <v>91</v>
      </c>
      <c r="C88" s="286"/>
      <c r="D88" s="74">
        <f>(((D34+D71+D81+D89+D109)-(D58-D59-D107))/30*15*0.78%)/12</f>
        <v>1.3340661389526149</v>
      </c>
      <c r="E88" s="74">
        <f t="shared" ref="E88:H88" si="46">(((E34+E71+E81+E89+E109)-(E58-E59-E107))/30*15*0.78%)/12</f>
        <v>1.1877013103133283</v>
      </c>
      <c r="F88" s="74">
        <f t="shared" si="46"/>
        <v>1.2078188103133283</v>
      </c>
      <c r="G88" s="74">
        <f t="shared" si="46"/>
        <v>1.0677587753644868</v>
      </c>
      <c r="H88" s="190">
        <f t="shared" si="46"/>
        <v>1.1805072547577724</v>
      </c>
    </row>
    <row r="89" spans="1:8">
      <c r="A89" s="39" t="s">
        <v>41</v>
      </c>
      <c r="B89" s="286" t="s">
        <v>92</v>
      </c>
      <c r="C89" s="286"/>
      <c r="D89" s="74">
        <f t="shared" ref="D89:G89" si="47">(((D39*3.95/12)+(D60*3.95*1.02%))/12+((D34+D38)*39.8%*3.95)*1.02%/12)</f>
        <v>10.225520149957378</v>
      </c>
      <c r="E89" s="74">
        <f t="shared" si="47"/>
        <v>9.0090596465106678</v>
      </c>
      <c r="F89" s="74">
        <f t="shared" si="47"/>
        <v>9.0090596465106678</v>
      </c>
      <c r="G89" s="74">
        <f t="shared" si="47"/>
        <v>8.0128204411017219</v>
      </c>
      <c r="H89" s="190">
        <f t="shared" ref="H89" si="48">(((H39*3.95/12)+(H60*3.95*1.02%))/12+((H34+H38)*39.8%*3.95)*1.02%/12)</f>
        <v>9.0090596465106678</v>
      </c>
    </row>
    <row r="90" spans="1:8">
      <c r="A90" s="39" t="s">
        <v>43</v>
      </c>
      <c r="B90" s="286" t="s">
        <v>93</v>
      </c>
      <c r="C90" s="286"/>
      <c r="D90" s="74">
        <v>0</v>
      </c>
      <c r="E90" s="74">
        <v>0</v>
      </c>
      <c r="F90" s="74">
        <v>0</v>
      </c>
      <c r="G90" s="74">
        <v>0</v>
      </c>
      <c r="H90" s="190">
        <v>0</v>
      </c>
    </row>
    <row r="91" spans="1:8" ht="15.75" thickBot="1">
      <c r="A91" s="48"/>
      <c r="B91" s="285" t="s">
        <v>69</v>
      </c>
      <c r="C91" s="285"/>
      <c r="D91" s="102">
        <f t="shared" ref="D91:G91" si="49">SUM(D85:D90)</f>
        <v>46.165489978834657</v>
      </c>
      <c r="E91" s="102">
        <f t="shared" si="49"/>
        <v>41.00593597221674</v>
      </c>
      <c r="F91" s="102">
        <f t="shared" si="49"/>
        <v>41.547904861105621</v>
      </c>
      <c r="G91" s="102">
        <f t="shared" si="49"/>
        <v>36.778424372288583</v>
      </c>
      <c r="H91" s="187">
        <f t="shared" ref="H91" si="50">SUM(H85:H90)</f>
        <v>40.812126885796971</v>
      </c>
    </row>
    <row r="92" spans="1:8" ht="15.75" thickBot="1">
      <c r="A92" s="64"/>
      <c r="B92" s="64"/>
      <c r="C92" s="64"/>
      <c r="D92" s="12"/>
      <c r="E92" s="13"/>
    </row>
    <row r="93" spans="1:8" ht="30">
      <c r="A93" s="293" t="s">
        <v>94</v>
      </c>
      <c r="B93" s="294"/>
      <c r="C93" s="295"/>
      <c r="D93" s="34" t="s">
        <v>181</v>
      </c>
      <c r="E93" s="35" t="s">
        <v>182</v>
      </c>
      <c r="F93" s="35" t="s">
        <v>183</v>
      </c>
      <c r="G93" s="35" t="s">
        <v>184</v>
      </c>
      <c r="H93" s="35" t="s">
        <v>171</v>
      </c>
    </row>
    <row r="94" spans="1:8">
      <c r="A94" s="76" t="s">
        <v>95</v>
      </c>
      <c r="B94" s="287" t="s">
        <v>96</v>
      </c>
      <c r="C94" s="288"/>
      <c r="D94" s="77" t="s">
        <v>33</v>
      </c>
      <c r="E94" s="77" t="s">
        <v>33</v>
      </c>
      <c r="F94" s="77" t="s">
        <v>33</v>
      </c>
      <c r="G94" s="77" t="s">
        <v>33</v>
      </c>
      <c r="H94" s="77" t="s">
        <v>33</v>
      </c>
    </row>
    <row r="95" spans="1:8">
      <c r="A95" s="78" t="s">
        <v>34</v>
      </c>
      <c r="B95" s="289" t="s">
        <v>97</v>
      </c>
      <c r="C95" s="290"/>
      <c r="D95" s="79">
        <v>0</v>
      </c>
      <c r="E95" s="79">
        <v>0</v>
      </c>
      <c r="F95" s="79">
        <v>0</v>
      </c>
      <c r="G95" s="79">
        <v>0</v>
      </c>
      <c r="H95" s="79">
        <v>0</v>
      </c>
    </row>
    <row r="96" spans="1:8" ht="15.75" thickBot="1">
      <c r="A96" s="80"/>
      <c r="B96" s="291" t="s">
        <v>69</v>
      </c>
      <c r="C96" s="292"/>
      <c r="D96" s="81">
        <v>0</v>
      </c>
      <c r="E96" s="81">
        <v>0</v>
      </c>
      <c r="F96" s="81">
        <v>0</v>
      </c>
      <c r="G96" s="81">
        <v>0</v>
      </c>
      <c r="H96" s="81">
        <v>0</v>
      </c>
    </row>
    <row r="97" spans="1:11" ht="15.75" thickBot="1">
      <c r="A97" s="64"/>
      <c r="B97" s="64"/>
      <c r="C97" s="64"/>
      <c r="D97" s="12"/>
      <c r="E97" s="13"/>
    </row>
    <row r="98" spans="1:11" ht="30">
      <c r="A98" s="271" t="s">
        <v>98</v>
      </c>
      <c r="B98" s="272"/>
      <c r="C98" s="272"/>
      <c r="D98" s="34" t="s">
        <v>181</v>
      </c>
      <c r="E98" s="35" t="s">
        <v>182</v>
      </c>
      <c r="F98" s="35" t="s">
        <v>183</v>
      </c>
      <c r="G98" s="35" t="s">
        <v>184</v>
      </c>
      <c r="H98" s="178" t="s">
        <v>171</v>
      </c>
    </row>
    <row r="99" spans="1:11">
      <c r="A99" s="103">
        <v>4</v>
      </c>
      <c r="B99" s="250" t="s">
        <v>99</v>
      </c>
      <c r="C99" s="250"/>
      <c r="D99" s="71" t="s">
        <v>50</v>
      </c>
      <c r="E99" s="71" t="s">
        <v>50</v>
      </c>
      <c r="F99" s="71" t="s">
        <v>50</v>
      </c>
      <c r="G99" s="71" t="s">
        <v>50</v>
      </c>
      <c r="H99" s="180" t="s">
        <v>50</v>
      </c>
    </row>
    <row r="100" spans="1:11">
      <c r="A100" s="100" t="s">
        <v>86</v>
      </c>
      <c r="B100" s="251" t="s">
        <v>87</v>
      </c>
      <c r="C100" s="251"/>
      <c r="D100" s="68">
        <f t="shared" ref="D100:G100" si="51">D91</f>
        <v>46.165489978834657</v>
      </c>
      <c r="E100" s="68">
        <f t="shared" si="51"/>
        <v>41.00593597221674</v>
      </c>
      <c r="F100" s="68">
        <f t="shared" si="51"/>
        <v>41.547904861105621</v>
      </c>
      <c r="G100" s="68">
        <f t="shared" si="51"/>
        <v>36.778424372288583</v>
      </c>
      <c r="H100" s="181">
        <f t="shared" ref="H100" si="52">H91</f>
        <v>40.812126885796971</v>
      </c>
    </row>
    <row r="101" spans="1:11">
      <c r="A101" s="100" t="s">
        <v>95</v>
      </c>
      <c r="B101" s="251" t="s">
        <v>96</v>
      </c>
      <c r="C101" s="251"/>
      <c r="D101" s="68">
        <v>0</v>
      </c>
      <c r="E101" s="68">
        <v>0</v>
      </c>
      <c r="F101" s="68">
        <v>0</v>
      </c>
      <c r="G101" s="68">
        <v>0</v>
      </c>
      <c r="H101" s="181">
        <v>0</v>
      </c>
    </row>
    <row r="102" spans="1:11" ht="15.75" thickBot="1">
      <c r="A102" s="48"/>
      <c r="B102" s="281" t="s">
        <v>53</v>
      </c>
      <c r="C102" s="281"/>
      <c r="D102" s="49">
        <f>SUM(D100:D101)</f>
        <v>46.165489978834657</v>
      </c>
      <c r="E102" s="49">
        <f t="shared" ref="E102:G102" si="53">SUM(E100:E101)</f>
        <v>41.00593597221674</v>
      </c>
      <c r="F102" s="49">
        <f t="shared" si="53"/>
        <v>41.547904861105621</v>
      </c>
      <c r="G102" s="49">
        <f t="shared" si="53"/>
        <v>36.778424372288583</v>
      </c>
      <c r="H102" s="50">
        <f t="shared" ref="H102" si="54">SUM(H100:H101)</f>
        <v>40.812126885796971</v>
      </c>
      <c r="J102" s="82"/>
    </row>
    <row r="103" spans="1:11" ht="15.75" thickBot="1">
      <c r="A103" s="12"/>
      <c r="B103" s="12"/>
      <c r="C103" s="12"/>
      <c r="D103" s="12"/>
      <c r="E103" s="12"/>
      <c r="J103" s="82"/>
    </row>
    <row r="104" spans="1:11" ht="30">
      <c r="A104" s="271" t="s">
        <v>100</v>
      </c>
      <c r="B104" s="272"/>
      <c r="C104" s="272"/>
      <c r="D104" s="34" t="s">
        <v>181</v>
      </c>
      <c r="E104" s="35" t="s">
        <v>182</v>
      </c>
      <c r="F104" s="35" t="s">
        <v>183</v>
      </c>
      <c r="G104" s="35" t="s">
        <v>184</v>
      </c>
      <c r="H104" s="178" t="s">
        <v>171</v>
      </c>
      <c r="J104" s="82"/>
    </row>
    <row r="105" spans="1:11">
      <c r="A105" s="104">
        <v>5</v>
      </c>
      <c r="B105" s="250" t="s">
        <v>101</v>
      </c>
      <c r="C105" s="250"/>
      <c r="D105" s="37" t="s">
        <v>33</v>
      </c>
      <c r="E105" s="37" t="s">
        <v>33</v>
      </c>
      <c r="F105" s="37" t="s">
        <v>33</v>
      </c>
      <c r="G105" s="37" t="s">
        <v>33</v>
      </c>
      <c r="H105" s="38" t="s">
        <v>33</v>
      </c>
    </row>
    <row r="106" spans="1:11">
      <c r="A106" s="105" t="s">
        <v>34</v>
      </c>
      <c r="B106" s="251" t="s">
        <v>148</v>
      </c>
      <c r="C106" s="251"/>
      <c r="D106" s="84">
        <f>'Anexo III-B Uniformes'!I117</f>
        <v>83.674166666666665</v>
      </c>
      <c r="E106" s="84">
        <f>'Anexo III-B Uniformes'!I136</f>
        <v>80.340833333333336</v>
      </c>
      <c r="F106" s="84">
        <f>'Anexo III-B Uniformes'!I158</f>
        <v>142.24083333333331</v>
      </c>
      <c r="G106" s="84">
        <f>'Anexo III-B Uniformes'!I175</f>
        <v>77.380833333333342</v>
      </c>
      <c r="H106" s="182">
        <f>'Anexo III-B Uniformes'!I31</f>
        <v>72.477500000000006</v>
      </c>
    </row>
    <row r="107" spans="1:11">
      <c r="A107" s="105" t="s">
        <v>36</v>
      </c>
      <c r="B107" s="251" t="s">
        <v>102</v>
      </c>
      <c r="C107" s="251"/>
      <c r="D107" s="86">
        <f>'Anexo III-A Equip.'!F12</f>
        <v>0.31633554083885207</v>
      </c>
      <c r="E107" s="86">
        <f>'Anexo III-A Equip.'!F12</f>
        <v>0.31633554083885207</v>
      </c>
      <c r="F107" s="86">
        <f>'Anexo III-A Equip.'!F12</f>
        <v>0.31633554083885207</v>
      </c>
      <c r="G107" s="86">
        <f>'Anexo III-A Equip.'!F12</f>
        <v>0.31633554083885207</v>
      </c>
      <c r="H107" s="183">
        <f>'Anexo III-A Equip.'!F12</f>
        <v>0.31633554083885207</v>
      </c>
      <c r="I107" s="85"/>
      <c r="J107" s="85"/>
      <c r="K107" s="85"/>
    </row>
    <row r="108" spans="1:11">
      <c r="A108" s="105" t="s">
        <v>38</v>
      </c>
      <c r="B108" s="251" t="s">
        <v>44</v>
      </c>
      <c r="C108" s="251"/>
      <c r="D108" s="86"/>
      <c r="E108" s="86"/>
      <c r="F108" s="86"/>
      <c r="G108" s="86"/>
      <c r="H108" s="183"/>
      <c r="I108" s="85"/>
      <c r="J108" s="85"/>
      <c r="K108" s="85"/>
    </row>
    <row r="109" spans="1:11" ht="15.75" thickBot="1">
      <c r="A109" s="106"/>
      <c r="B109" s="281" t="s">
        <v>103</v>
      </c>
      <c r="C109" s="281"/>
      <c r="D109" s="107">
        <f>SUM(D106:D108)</f>
        <v>83.990502207505514</v>
      </c>
      <c r="E109" s="107">
        <f>SUM(E106:E108)</f>
        <v>80.657168874172186</v>
      </c>
      <c r="F109" s="107">
        <f>SUM(F106:F108)</f>
        <v>142.55716887417216</v>
      </c>
      <c r="G109" s="107">
        <f>SUM(G106:G108)</f>
        <v>77.697168874172192</v>
      </c>
      <c r="H109" s="184">
        <f>SUM(H106:H108)</f>
        <v>72.793835540838856</v>
      </c>
    </row>
    <row r="110" spans="1:11" ht="15.75" thickBot="1">
      <c r="A110" s="14"/>
      <c r="B110" s="87"/>
      <c r="C110" s="88"/>
      <c r="D110" s="88"/>
      <c r="E110" s="12"/>
    </row>
    <row r="111" spans="1:11" ht="30">
      <c r="A111" s="271" t="s">
        <v>104</v>
      </c>
      <c r="B111" s="272"/>
      <c r="C111" s="34"/>
      <c r="D111" s="34" t="s">
        <v>181</v>
      </c>
      <c r="E111" s="35" t="s">
        <v>182</v>
      </c>
      <c r="F111" s="35" t="s">
        <v>183</v>
      </c>
      <c r="G111" s="35" t="s">
        <v>184</v>
      </c>
      <c r="H111" s="178" t="s">
        <v>171</v>
      </c>
    </row>
    <row r="112" spans="1:11">
      <c r="A112" s="104">
        <v>6</v>
      </c>
      <c r="B112" s="56" t="s">
        <v>105</v>
      </c>
      <c r="C112" s="57" t="s">
        <v>58</v>
      </c>
      <c r="D112" s="58" t="s">
        <v>33</v>
      </c>
      <c r="E112" s="58" t="s">
        <v>33</v>
      </c>
      <c r="F112" s="58" t="s">
        <v>33</v>
      </c>
      <c r="G112" s="58" t="s">
        <v>33</v>
      </c>
      <c r="H112" s="185" t="s">
        <v>33</v>
      </c>
    </row>
    <row r="113" spans="1:8">
      <c r="A113" s="105" t="s">
        <v>34</v>
      </c>
      <c r="B113" s="59" t="s">
        <v>106</v>
      </c>
      <c r="C113" s="52">
        <v>4.8</v>
      </c>
      <c r="D113" s="54">
        <f>(D130)*$C$113/100</f>
        <v>210.52389712190433</v>
      </c>
      <c r="E113" s="54">
        <f t="shared" ref="E113:G113" si="55">(E130)*$C$113/100</f>
        <v>189.45264532702669</v>
      </c>
      <c r="F113" s="54">
        <f t="shared" si="55"/>
        <v>192.44985983369332</v>
      </c>
      <c r="G113" s="54">
        <f t="shared" si="55"/>
        <v>172.18487447503011</v>
      </c>
      <c r="H113" s="186">
        <f t="shared" ref="H113" si="56">(H130)*$C$113/100</f>
        <v>188.38083582421186</v>
      </c>
    </row>
    <row r="114" spans="1:8">
      <c r="A114" s="105" t="s">
        <v>36</v>
      </c>
      <c r="B114" s="59" t="s">
        <v>107</v>
      </c>
      <c r="C114" s="52">
        <v>3.92</v>
      </c>
      <c r="D114" s="54">
        <f>(D130+D113)*$C$114/100</f>
        <v>180.18038608340052</v>
      </c>
      <c r="E114" s="54">
        <f t="shared" ref="E114:G114" si="57">(E130+E113)*$C$114/100</f>
        <v>162.14620404722459</v>
      </c>
      <c r="F114" s="54">
        <f t="shared" si="57"/>
        <v>164.71142003633034</v>
      </c>
      <c r="G114" s="54">
        <f t="shared" si="57"/>
        <v>147.36729456736245</v>
      </c>
      <c r="H114" s="186">
        <f t="shared" ref="H114" si="58">(H130+H113)*$C$114/100</f>
        <v>161.22887802074882</v>
      </c>
    </row>
    <row r="115" spans="1:8">
      <c r="A115" s="105" t="s">
        <v>38</v>
      </c>
      <c r="B115" s="59" t="s">
        <v>108</v>
      </c>
      <c r="C115" s="52"/>
      <c r="D115" s="54"/>
      <c r="E115" s="54"/>
      <c r="F115" s="54"/>
      <c r="G115" s="54"/>
      <c r="H115" s="186"/>
    </row>
    <row r="116" spans="1:8">
      <c r="A116" s="105"/>
      <c r="B116" s="59" t="s">
        <v>109</v>
      </c>
      <c r="C116" s="52">
        <f>3+0.65</f>
        <v>3.65</v>
      </c>
      <c r="D116" s="54">
        <f>((D130+D113+D114)/(1-($C$116+$C$118)/100))*$C$116/100</f>
        <v>190.85559544620511</v>
      </c>
      <c r="E116" s="54">
        <f t="shared" ref="E116:G116" si="59">((E130+E113+E114)/(1-($C$116+$C$118)/100))*$C$116/100</f>
        <v>171.75293601852223</v>
      </c>
      <c r="F116" s="54">
        <f t="shared" si="59"/>
        <v>174.47013424243042</v>
      </c>
      <c r="G116" s="54">
        <f t="shared" si="59"/>
        <v>156.09841540095036</v>
      </c>
      <c r="H116" s="186">
        <f t="shared" ref="H116" si="60">((H130+H113+H114)/(1-($C$116+$C$118)/100))*$C$116/100</f>
        <v>170.78126086115913</v>
      </c>
    </row>
    <row r="117" spans="1:8">
      <c r="A117" s="105"/>
      <c r="B117" s="59" t="s">
        <v>110</v>
      </c>
      <c r="C117" s="52"/>
      <c r="D117" s="54"/>
      <c r="E117" s="54"/>
      <c r="F117" s="54"/>
      <c r="G117" s="54"/>
      <c r="H117" s="186"/>
    </row>
    <row r="118" spans="1:8">
      <c r="A118" s="105"/>
      <c r="B118" s="59" t="s">
        <v>111</v>
      </c>
      <c r="C118" s="83">
        <v>5</v>
      </c>
      <c r="D118" s="54">
        <f>((D130+D113+D114)/(1-($C$116+$C$118)/100))*$C$118/100</f>
        <v>261.44602115918514</v>
      </c>
      <c r="E118" s="54">
        <f t="shared" ref="E118:G118" si="61">((E130+E113+E114)/(1-($C$116+$C$118)/100))*$C$118/100</f>
        <v>235.27799454592088</v>
      </c>
      <c r="F118" s="54">
        <f t="shared" si="61"/>
        <v>239.00018389374031</v>
      </c>
      <c r="G118" s="54">
        <f t="shared" si="61"/>
        <v>213.83344575472654</v>
      </c>
      <c r="H118" s="186">
        <f t="shared" ref="H118" si="62">((H130+H113+H114)/(1-($C$116+$C$118)/100))*$C$118/100</f>
        <v>233.94693268651935</v>
      </c>
    </row>
    <row r="119" spans="1:8">
      <c r="A119" s="105"/>
      <c r="B119" s="59" t="s">
        <v>112</v>
      </c>
      <c r="C119" s="52"/>
      <c r="D119" s="54"/>
      <c r="E119" s="54"/>
      <c r="F119" s="44"/>
      <c r="G119" s="44"/>
      <c r="H119" s="45"/>
    </row>
    <row r="120" spans="1:8" ht="15.75" thickBot="1">
      <c r="A120" s="108"/>
      <c r="B120" s="109" t="s">
        <v>69</v>
      </c>
      <c r="C120" s="94">
        <f>SUM(C113:C119)</f>
        <v>17.369999999999997</v>
      </c>
      <c r="D120" s="102">
        <f>SUM(D113:D119)</f>
        <v>843.00589981069515</v>
      </c>
      <c r="E120" s="102">
        <f>SUM(E113:E119)</f>
        <v>758.62977993869436</v>
      </c>
      <c r="F120" s="102">
        <f t="shared" ref="F120:G120" si="63">SUM(F113:F119)</f>
        <v>770.63159800619439</v>
      </c>
      <c r="G120" s="102">
        <f t="shared" si="63"/>
        <v>689.48403019806949</v>
      </c>
      <c r="H120" s="187">
        <f t="shared" ref="H120" si="64">SUM(H113:H119)</f>
        <v>754.33790739263918</v>
      </c>
    </row>
    <row r="121" spans="1:8">
      <c r="A121" s="14"/>
      <c r="B121" s="87"/>
      <c r="C121" s="88"/>
      <c r="D121" s="88"/>
      <c r="E121" s="12"/>
    </row>
    <row r="122" spans="1:8" ht="15.75" thickBot="1">
      <c r="A122" s="298" t="s">
        <v>149</v>
      </c>
      <c r="B122" s="298"/>
      <c r="C122" s="298"/>
      <c r="D122" s="298"/>
      <c r="E122" s="298"/>
      <c r="F122" s="298"/>
      <c r="G122" s="298"/>
      <c r="H122" s="298"/>
    </row>
    <row r="123" spans="1:8" ht="30">
      <c r="A123" s="296" t="s">
        <v>150</v>
      </c>
      <c r="B123" s="297"/>
      <c r="C123" s="297"/>
      <c r="D123" s="34" t="s">
        <v>181</v>
      </c>
      <c r="E123" s="35" t="s">
        <v>182</v>
      </c>
      <c r="F123" s="35" t="s">
        <v>183</v>
      </c>
      <c r="G123" s="35" t="s">
        <v>184</v>
      </c>
      <c r="H123" s="178" t="s">
        <v>171</v>
      </c>
    </row>
    <row r="124" spans="1:8">
      <c r="A124" s="110"/>
      <c r="B124" s="274" t="s">
        <v>113</v>
      </c>
      <c r="C124" s="274"/>
      <c r="D124" s="58" t="s">
        <v>33</v>
      </c>
      <c r="E124" s="58" t="s">
        <v>33</v>
      </c>
      <c r="F124" s="58" t="s">
        <v>33</v>
      </c>
      <c r="G124" s="58" t="s">
        <v>33</v>
      </c>
      <c r="H124" s="185" t="s">
        <v>33</v>
      </c>
    </row>
    <row r="125" spans="1:8">
      <c r="A125" s="110" t="s">
        <v>34</v>
      </c>
      <c r="B125" s="279" t="s">
        <v>114</v>
      </c>
      <c r="C125" s="279"/>
      <c r="D125" s="54">
        <f>D34</f>
        <v>2103.1999999999998</v>
      </c>
      <c r="E125" s="54">
        <f>E34</f>
        <v>1848</v>
      </c>
      <c r="F125" s="54">
        <f>F34</f>
        <v>1848</v>
      </c>
      <c r="G125" s="54">
        <f>G34</f>
        <v>1639</v>
      </c>
      <c r="H125" s="186">
        <f>H34</f>
        <v>1848</v>
      </c>
    </row>
    <row r="126" spans="1:8">
      <c r="A126" s="110" t="s">
        <v>36</v>
      </c>
      <c r="B126" s="279" t="s">
        <v>115</v>
      </c>
      <c r="C126" s="279"/>
      <c r="D126" s="54">
        <f>D71</f>
        <v>2011.1879333333331</v>
      </c>
      <c r="E126" s="54">
        <f>E71</f>
        <v>1852.8363333333334</v>
      </c>
      <c r="F126" s="54">
        <f>F71</f>
        <v>1852.8363333333334</v>
      </c>
      <c r="G126" s="54">
        <f>G71</f>
        <v>1723.1518333333333</v>
      </c>
      <c r="H126" s="186">
        <f>H71</f>
        <v>1838.8363333333334</v>
      </c>
    </row>
    <row r="127" spans="1:8">
      <c r="A127" s="110" t="s">
        <v>38</v>
      </c>
      <c r="B127" s="279" t="s">
        <v>116</v>
      </c>
      <c r="C127" s="279"/>
      <c r="D127" s="54">
        <f>D81</f>
        <v>141.37059785333332</v>
      </c>
      <c r="E127" s="54">
        <f>E81</f>
        <v>124.43067280000001</v>
      </c>
      <c r="F127" s="54">
        <f>F81</f>
        <v>124.43067280000001</v>
      </c>
      <c r="G127" s="54">
        <f>G81</f>
        <v>110.55745831666667</v>
      </c>
      <c r="H127" s="186">
        <f>H81</f>
        <v>124.15845057777778</v>
      </c>
    </row>
    <row r="128" spans="1:8">
      <c r="A128" s="110" t="s">
        <v>39</v>
      </c>
      <c r="B128" s="279" t="s">
        <v>117</v>
      </c>
      <c r="C128" s="279"/>
      <c r="D128" s="54">
        <f>D102</f>
        <v>46.165489978834657</v>
      </c>
      <c r="E128" s="54">
        <f>E102</f>
        <v>41.00593597221674</v>
      </c>
      <c r="F128" s="54">
        <f>F102</f>
        <v>41.547904861105621</v>
      </c>
      <c r="G128" s="54">
        <f>G102</f>
        <v>36.778424372288583</v>
      </c>
      <c r="H128" s="186">
        <f>H102</f>
        <v>40.812126885796971</v>
      </c>
    </row>
    <row r="129" spans="1:8">
      <c r="A129" s="110" t="s">
        <v>41</v>
      </c>
      <c r="B129" s="279" t="s">
        <v>118</v>
      </c>
      <c r="C129" s="279"/>
      <c r="D129" s="54">
        <f>D109</f>
        <v>83.990502207505514</v>
      </c>
      <c r="E129" s="54">
        <f t="shared" ref="E129:G129" si="65">E109</f>
        <v>80.657168874172186</v>
      </c>
      <c r="F129" s="54">
        <f t="shared" si="65"/>
        <v>142.55716887417216</v>
      </c>
      <c r="G129" s="54">
        <f t="shared" si="65"/>
        <v>77.697168874172192</v>
      </c>
      <c r="H129" s="186">
        <f t="shared" ref="H129" si="66">H109</f>
        <v>72.793835540838856</v>
      </c>
    </row>
    <row r="130" spans="1:8">
      <c r="A130" s="110"/>
      <c r="B130" s="274" t="s">
        <v>119</v>
      </c>
      <c r="C130" s="274"/>
      <c r="D130" s="55">
        <f>SUM(D125:D129)</f>
        <v>4385.9145233730069</v>
      </c>
      <c r="E130" s="55">
        <f t="shared" ref="E130:G130" si="67">SUM(E125:E129)</f>
        <v>3946.9301109797229</v>
      </c>
      <c r="F130" s="55">
        <f t="shared" si="67"/>
        <v>4009.3720798686113</v>
      </c>
      <c r="G130" s="55">
        <f t="shared" si="67"/>
        <v>3587.184884896461</v>
      </c>
      <c r="H130" s="188">
        <f t="shared" ref="H130" si="68">SUM(H125:H129)</f>
        <v>3924.6007463377473</v>
      </c>
    </row>
    <row r="131" spans="1:8">
      <c r="A131" s="110" t="s">
        <v>43</v>
      </c>
      <c r="B131" s="279" t="s">
        <v>120</v>
      </c>
      <c r="C131" s="279"/>
      <c r="D131" s="54">
        <f>D120</f>
        <v>843.00589981069515</v>
      </c>
      <c r="E131" s="54">
        <f t="shared" ref="E131:G131" si="69">E120</f>
        <v>758.62977993869436</v>
      </c>
      <c r="F131" s="54">
        <f t="shared" si="69"/>
        <v>770.63159800619439</v>
      </c>
      <c r="G131" s="54">
        <f t="shared" si="69"/>
        <v>689.48403019806949</v>
      </c>
      <c r="H131" s="186">
        <f t="shared" ref="H131" si="70">H120</f>
        <v>754.33790739263918</v>
      </c>
    </row>
    <row r="132" spans="1:8">
      <c r="A132" s="110"/>
      <c r="B132" s="274" t="s">
        <v>121</v>
      </c>
      <c r="C132" s="274"/>
      <c r="D132" s="55">
        <f>SUM(D130:D131)</f>
        <v>5228.920423183702</v>
      </c>
      <c r="E132" s="55">
        <f t="shared" ref="E132:G132" si="71">SUM(E130:E131)</f>
        <v>4705.5598909184173</v>
      </c>
      <c r="F132" s="55">
        <f t="shared" si="71"/>
        <v>4780.0036778748054</v>
      </c>
      <c r="G132" s="55">
        <f t="shared" si="71"/>
        <v>4276.6689150945303</v>
      </c>
      <c r="H132" s="188">
        <f t="shared" ref="H132" si="72">SUM(H130:H131)</f>
        <v>4678.9386537303862</v>
      </c>
    </row>
    <row r="133" spans="1:8" ht="15.75" thickBot="1">
      <c r="A133" s="48"/>
      <c r="B133" s="285" t="s">
        <v>122</v>
      </c>
      <c r="C133" s="285"/>
      <c r="D133" s="111">
        <f>D132/D34</f>
        <v>2.4861736511904251</v>
      </c>
      <c r="E133" s="111">
        <f>E132/E34</f>
        <v>2.546298642271871</v>
      </c>
      <c r="F133" s="111">
        <f>F132/F34</f>
        <v>2.5865820767720806</v>
      </c>
      <c r="G133" s="111">
        <f>G132/G34</f>
        <v>2.6093159945665225</v>
      </c>
      <c r="H133" s="189">
        <f>H132/H34</f>
        <v>2.5318932108930663</v>
      </c>
    </row>
    <row r="134" spans="1:8">
      <c r="A134" s="12"/>
      <c r="B134" s="89"/>
      <c r="C134" s="12"/>
      <c r="D134" s="12"/>
      <c r="E134" s="12"/>
    </row>
    <row r="135" spans="1:8" ht="15.75" thickBot="1">
      <c r="A135" s="12"/>
      <c r="B135" s="12"/>
      <c r="C135" s="12"/>
      <c r="D135" s="12"/>
      <c r="E135" s="12"/>
    </row>
    <row r="136" spans="1:8" ht="30">
      <c r="A136" s="271" t="s">
        <v>123</v>
      </c>
      <c r="B136" s="272"/>
      <c r="C136" s="34"/>
      <c r="D136" s="34" t="s">
        <v>181</v>
      </c>
      <c r="E136" s="35" t="s">
        <v>182</v>
      </c>
      <c r="F136" s="35" t="s">
        <v>183</v>
      </c>
      <c r="G136" s="35" t="s">
        <v>184</v>
      </c>
      <c r="H136" s="178" t="s">
        <v>171</v>
      </c>
    </row>
    <row r="137" spans="1:8">
      <c r="A137" s="104">
        <v>6</v>
      </c>
      <c r="B137" s="56" t="s">
        <v>105</v>
      </c>
      <c r="C137" s="57" t="s">
        <v>58</v>
      </c>
      <c r="D137" s="58" t="s">
        <v>33</v>
      </c>
      <c r="E137" s="58" t="s">
        <v>33</v>
      </c>
      <c r="F137" s="58" t="s">
        <v>33</v>
      </c>
      <c r="G137" s="58" t="s">
        <v>33</v>
      </c>
      <c r="H137" s="185" t="s">
        <v>33</v>
      </c>
    </row>
    <row r="138" spans="1:8">
      <c r="A138" s="105" t="s">
        <v>34</v>
      </c>
      <c r="B138" s="59" t="s">
        <v>106</v>
      </c>
      <c r="C138" s="52">
        <v>4.8</v>
      </c>
      <c r="D138" s="54">
        <f>(D155)*$C$138/100</f>
        <v>210.52389712190433</v>
      </c>
      <c r="E138" s="54">
        <f t="shared" ref="E138:G138" si="73">(E155)*$C$138/100</f>
        <v>189.45264532702669</v>
      </c>
      <c r="F138" s="54">
        <f t="shared" si="73"/>
        <v>192.44985983369332</v>
      </c>
      <c r="G138" s="54">
        <f t="shared" si="73"/>
        <v>172.18487447503011</v>
      </c>
      <c r="H138" s="186">
        <f t="shared" ref="H138" si="74">(H155)*$C$138/100</f>
        <v>188.38083582421186</v>
      </c>
    </row>
    <row r="139" spans="1:8">
      <c r="A139" s="105" t="s">
        <v>36</v>
      </c>
      <c r="B139" s="59" t="s">
        <v>107</v>
      </c>
      <c r="C139" s="52">
        <v>3.92</v>
      </c>
      <c r="D139" s="54">
        <f>(D155+D138)*$C$139/100</f>
        <v>180.18038608340052</v>
      </c>
      <c r="E139" s="54">
        <f t="shared" ref="E139:G139" si="75">(E155+E138)*$C$139/100</f>
        <v>162.14620404722459</v>
      </c>
      <c r="F139" s="54">
        <f t="shared" si="75"/>
        <v>164.71142003633034</v>
      </c>
      <c r="G139" s="54">
        <f t="shared" si="75"/>
        <v>147.36729456736245</v>
      </c>
      <c r="H139" s="186">
        <f t="shared" ref="H139" si="76">(H155+H138)*$C$139/100</f>
        <v>161.22887802074882</v>
      </c>
    </row>
    <row r="140" spans="1:8">
      <c r="A140" s="105" t="s">
        <v>38</v>
      </c>
      <c r="B140" s="59" t="s">
        <v>108</v>
      </c>
      <c r="C140" s="52"/>
      <c r="D140" s="54"/>
      <c r="E140" s="54"/>
      <c r="F140" s="54"/>
      <c r="G140" s="54"/>
      <c r="H140" s="186"/>
    </row>
    <row r="141" spans="1:8">
      <c r="A141" s="105"/>
      <c r="B141" s="59" t="s">
        <v>124</v>
      </c>
      <c r="C141" s="60">
        <v>9.25</v>
      </c>
      <c r="D141" s="54">
        <f>((D155+D138+D139)/(1-($C$141+$C$143)/100))*$C$141/100</f>
        <v>515.26208700698987</v>
      </c>
      <c r="E141" s="54">
        <f t="shared" ref="E141:G141" si="77">((E155+E138+E139)/(1-($C$141+$C$143)/100))*$C$141/100</f>
        <v>463.68971292448111</v>
      </c>
      <c r="F141" s="54">
        <f t="shared" si="77"/>
        <v>471.02546446160204</v>
      </c>
      <c r="G141" s="54">
        <f t="shared" si="77"/>
        <v>421.42644605171307</v>
      </c>
      <c r="H141" s="186">
        <f t="shared" ref="H141" si="78">((H155+H138+H139)/(1-($C$141+$C$143)/100))*$C$141/100</f>
        <v>461.06643448035044</v>
      </c>
    </row>
    <row r="142" spans="1:8">
      <c r="A142" s="105"/>
      <c r="B142" s="59" t="s">
        <v>110</v>
      </c>
      <c r="C142" s="52"/>
      <c r="D142" s="54"/>
      <c r="E142" s="54"/>
      <c r="F142" s="54"/>
      <c r="G142" s="54"/>
      <c r="H142" s="186"/>
    </row>
    <row r="143" spans="1:8">
      <c r="A143" s="105"/>
      <c r="B143" s="59" t="s">
        <v>111</v>
      </c>
      <c r="C143" s="83">
        <v>5</v>
      </c>
      <c r="D143" s="54">
        <f>((D155+D138+D139)/(1-($C$141+$C$143)/100))*$C$143/100</f>
        <v>278.5200470308053</v>
      </c>
      <c r="E143" s="54">
        <f t="shared" ref="E143:G143" si="79">((E155+E138+E139)/(1-($C$141+$C$143)/100))*$C$143/100</f>
        <v>250.6430880672871</v>
      </c>
      <c r="F143" s="54">
        <f t="shared" si="79"/>
        <v>254.60835916843354</v>
      </c>
      <c r="G143" s="54">
        <f t="shared" si="79"/>
        <v>227.7980789468719</v>
      </c>
      <c r="H143" s="186">
        <f t="shared" ref="H143" si="80">((H155+H138+H139)/(1-($C$141+$C$143)/100))*$C$143/100</f>
        <v>249.22509971910836</v>
      </c>
    </row>
    <row r="144" spans="1:8">
      <c r="A144" s="105"/>
      <c r="B144" s="59" t="s">
        <v>112</v>
      </c>
      <c r="C144" s="52"/>
      <c r="D144" s="54"/>
      <c r="E144" s="54"/>
      <c r="F144" s="54"/>
      <c r="G144" s="54"/>
      <c r="H144" s="186"/>
    </row>
    <row r="145" spans="1:8" ht="15.75" thickBot="1">
      <c r="A145" s="108"/>
      <c r="B145" s="109" t="s">
        <v>69</v>
      </c>
      <c r="C145" s="94">
        <f>SUM(C138:C144)</f>
        <v>22.97</v>
      </c>
      <c r="D145" s="102">
        <f>SUM(D138:D144)</f>
        <v>1184.4864172431</v>
      </c>
      <c r="E145" s="102">
        <f t="shared" ref="E145:G145" si="81">SUM(E138:E144)</f>
        <v>1065.9316503660195</v>
      </c>
      <c r="F145" s="102">
        <f t="shared" si="81"/>
        <v>1082.7951035000592</v>
      </c>
      <c r="G145" s="102">
        <f t="shared" si="81"/>
        <v>968.77669404097753</v>
      </c>
      <c r="H145" s="187">
        <f t="shared" ref="H145" si="82">SUM(H138:H144)</f>
        <v>1059.9012480444194</v>
      </c>
    </row>
    <row r="146" spans="1:8">
      <c r="A146" s="64"/>
      <c r="B146" s="64"/>
      <c r="C146" s="64"/>
      <c r="D146" s="64"/>
      <c r="E146" s="12"/>
    </row>
    <row r="147" spans="1:8" ht="15.75" thickBot="1">
      <c r="A147" s="298" t="s">
        <v>151</v>
      </c>
      <c r="B147" s="298"/>
      <c r="C147" s="298"/>
      <c r="D147" s="298"/>
      <c r="E147" s="298"/>
      <c r="F147" s="298"/>
      <c r="G147" s="298"/>
      <c r="H147" s="298"/>
    </row>
    <row r="148" spans="1:8" ht="30">
      <c r="A148" s="299" t="s">
        <v>152</v>
      </c>
      <c r="B148" s="300"/>
      <c r="C148" s="300"/>
      <c r="D148" s="34" t="s">
        <v>181</v>
      </c>
      <c r="E148" s="35" t="s">
        <v>182</v>
      </c>
      <c r="F148" s="35" t="s">
        <v>183</v>
      </c>
      <c r="G148" s="35" t="s">
        <v>184</v>
      </c>
      <c r="H148" s="178" t="s">
        <v>171</v>
      </c>
    </row>
    <row r="149" spans="1:8">
      <c r="A149" s="110"/>
      <c r="B149" s="274" t="s">
        <v>113</v>
      </c>
      <c r="C149" s="274"/>
      <c r="D149" s="58" t="s">
        <v>33</v>
      </c>
      <c r="E149" s="58" t="s">
        <v>33</v>
      </c>
      <c r="F149" s="58" t="s">
        <v>33</v>
      </c>
      <c r="G149" s="58" t="s">
        <v>33</v>
      </c>
      <c r="H149" s="185" t="s">
        <v>33</v>
      </c>
    </row>
    <row r="150" spans="1:8">
      <c r="A150" s="110" t="s">
        <v>34</v>
      </c>
      <c r="B150" s="279" t="s">
        <v>114</v>
      </c>
      <c r="C150" s="279"/>
      <c r="D150" s="54">
        <f t="shared" ref="D150:H154" si="83">D125</f>
        <v>2103.1999999999998</v>
      </c>
      <c r="E150" s="54">
        <f t="shared" si="83"/>
        <v>1848</v>
      </c>
      <c r="F150" s="54">
        <f t="shared" si="83"/>
        <v>1848</v>
      </c>
      <c r="G150" s="54">
        <f t="shared" si="83"/>
        <v>1639</v>
      </c>
      <c r="H150" s="186">
        <f t="shared" si="83"/>
        <v>1848</v>
      </c>
    </row>
    <row r="151" spans="1:8">
      <c r="A151" s="110" t="s">
        <v>36</v>
      </c>
      <c r="B151" s="279" t="s">
        <v>115</v>
      </c>
      <c r="C151" s="279"/>
      <c r="D151" s="54">
        <f t="shared" si="83"/>
        <v>2011.1879333333331</v>
      </c>
      <c r="E151" s="54">
        <f t="shared" si="83"/>
        <v>1852.8363333333334</v>
      </c>
      <c r="F151" s="54">
        <f t="shared" si="83"/>
        <v>1852.8363333333334</v>
      </c>
      <c r="G151" s="54">
        <f t="shared" si="83"/>
        <v>1723.1518333333333</v>
      </c>
      <c r="H151" s="186">
        <f t="shared" si="83"/>
        <v>1838.8363333333334</v>
      </c>
    </row>
    <row r="152" spans="1:8">
      <c r="A152" s="110" t="s">
        <v>38</v>
      </c>
      <c r="B152" s="279" t="s">
        <v>116</v>
      </c>
      <c r="C152" s="279"/>
      <c r="D152" s="54">
        <f t="shared" si="83"/>
        <v>141.37059785333332</v>
      </c>
      <c r="E152" s="54">
        <f t="shared" si="83"/>
        <v>124.43067280000001</v>
      </c>
      <c r="F152" s="54">
        <f t="shared" si="83"/>
        <v>124.43067280000001</v>
      </c>
      <c r="G152" s="54">
        <f t="shared" si="83"/>
        <v>110.55745831666667</v>
      </c>
      <c r="H152" s="186">
        <f t="shared" si="83"/>
        <v>124.15845057777778</v>
      </c>
    </row>
    <row r="153" spans="1:8">
      <c r="A153" s="110" t="s">
        <v>39</v>
      </c>
      <c r="B153" s="279" t="s">
        <v>117</v>
      </c>
      <c r="C153" s="279"/>
      <c r="D153" s="54">
        <f t="shared" si="83"/>
        <v>46.165489978834657</v>
      </c>
      <c r="E153" s="54">
        <f t="shared" si="83"/>
        <v>41.00593597221674</v>
      </c>
      <c r="F153" s="54">
        <f t="shared" si="83"/>
        <v>41.547904861105621</v>
      </c>
      <c r="G153" s="54">
        <f t="shared" si="83"/>
        <v>36.778424372288583</v>
      </c>
      <c r="H153" s="186">
        <f t="shared" si="83"/>
        <v>40.812126885796971</v>
      </c>
    </row>
    <row r="154" spans="1:8">
      <c r="A154" s="110" t="s">
        <v>41</v>
      </c>
      <c r="B154" s="279" t="s">
        <v>118</v>
      </c>
      <c r="C154" s="279"/>
      <c r="D154" s="54">
        <f t="shared" si="83"/>
        <v>83.990502207505514</v>
      </c>
      <c r="E154" s="54">
        <f t="shared" si="83"/>
        <v>80.657168874172186</v>
      </c>
      <c r="F154" s="54">
        <f t="shared" si="83"/>
        <v>142.55716887417216</v>
      </c>
      <c r="G154" s="54">
        <f t="shared" si="83"/>
        <v>77.697168874172192</v>
      </c>
      <c r="H154" s="186">
        <f t="shared" si="83"/>
        <v>72.793835540838856</v>
      </c>
    </row>
    <row r="155" spans="1:8">
      <c r="A155" s="110"/>
      <c r="B155" s="274" t="s">
        <v>119</v>
      </c>
      <c r="C155" s="274"/>
      <c r="D155" s="55">
        <f>SUM(D150:D154)</f>
        <v>4385.9145233730069</v>
      </c>
      <c r="E155" s="55">
        <f t="shared" ref="E155:G155" si="84">SUM(E150:E154)</f>
        <v>3946.9301109797229</v>
      </c>
      <c r="F155" s="55">
        <f t="shared" si="84"/>
        <v>4009.3720798686113</v>
      </c>
      <c r="G155" s="55">
        <f t="shared" si="84"/>
        <v>3587.184884896461</v>
      </c>
      <c r="H155" s="188">
        <f t="shared" ref="H155" si="85">SUM(H150:H154)</f>
        <v>3924.6007463377473</v>
      </c>
    </row>
    <row r="156" spans="1:8">
      <c r="A156" s="110" t="s">
        <v>43</v>
      </c>
      <c r="B156" s="279" t="s">
        <v>120</v>
      </c>
      <c r="C156" s="279"/>
      <c r="D156" s="54">
        <f>D145</f>
        <v>1184.4864172431</v>
      </c>
      <c r="E156" s="54">
        <f t="shared" ref="E156:G156" si="86">E145</f>
        <v>1065.9316503660195</v>
      </c>
      <c r="F156" s="54">
        <f t="shared" si="86"/>
        <v>1082.7951035000592</v>
      </c>
      <c r="G156" s="54">
        <f t="shared" si="86"/>
        <v>968.77669404097753</v>
      </c>
      <c r="H156" s="186">
        <f t="shared" ref="H156" si="87">H145</f>
        <v>1059.9012480444194</v>
      </c>
    </row>
    <row r="157" spans="1:8">
      <c r="A157" s="110"/>
      <c r="B157" s="274" t="s">
        <v>121</v>
      </c>
      <c r="C157" s="274"/>
      <c r="D157" s="55">
        <f>SUM(D155:D156)</f>
        <v>5570.4009406161067</v>
      </c>
      <c r="E157" s="55">
        <f t="shared" ref="E157:G157" si="88">SUM(E155:E156)</f>
        <v>5012.8617613457427</v>
      </c>
      <c r="F157" s="55">
        <f t="shared" si="88"/>
        <v>5092.1671833686705</v>
      </c>
      <c r="G157" s="55">
        <f t="shared" si="88"/>
        <v>4555.9615789374384</v>
      </c>
      <c r="H157" s="188">
        <f t="shared" ref="H157" si="89">SUM(H155:H156)</f>
        <v>4984.5019943821662</v>
      </c>
    </row>
    <row r="158" spans="1:8" ht="15.75" thickBot="1">
      <c r="A158" s="48"/>
      <c r="B158" s="285" t="s">
        <v>122</v>
      </c>
      <c r="C158" s="285"/>
      <c r="D158" s="111">
        <f>D157/D34</f>
        <v>2.6485360120844939</v>
      </c>
      <c r="E158" s="111">
        <f>E157/E34</f>
        <v>2.7125875331957481</v>
      </c>
      <c r="F158" s="111">
        <f>F157/F34</f>
        <v>2.7555017226020944</v>
      </c>
      <c r="G158" s="111">
        <f>G157/G34</f>
        <v>2.7797203044157648</v>
      </c>
      <c r="H158" s="189">
        <f>H157/H34</f>
        <v>2.6972413389513887</v>
      </c>
    </row>
  </sheetData>
  <mergeCells count="109">
    <mergeCell ref="A147:H147"/>
    <mergeCell ref="B158:C158"/>
    <mergeCell ref="B153:C153"/>
    <mergeCell ref="B154:C154"/>
    <mergeCell ref="B155:C155"/>
    <mergeCell ref="B156:C156"/>
    <mergeCell ref="B157:C157"/>
    <mergeCell ref="A148:C148"/>
    <mergeCell ref="B149:C149"/>
    <mergeCell ref="B150:C150"/>
    <mergeCell ref="B151:C151"/>
    <mergeCell ref="B152:C152"/>
    <mergeCell ref="B130:C130"/>
    <mergeCell ref="B131:C131"/>
    <mergeCell ref="B132:C132"/>
    <mergeCell ref="B133:C133"/>
    <mergeCell ref="A136:B136"/>
    <mergeCell ref="B124:C124"/>
    <mergeCell ref="B125:C125"/>
    <mergeCell ref="B126:C126"/>
    <mergeCell ref="B127:C127"/>
    <mergeCell ref="B128:C128"/>
    <mergeCell ref="B129:C129"/>
    <mergeCell ref="B107:C107"/>
    <mergeCell ref="B108:C108"/>
    <mergeCell ref="B109:C109"/>
    <mergeCell ref="A111:B111"/>
    <mergeCell ref="A123:C123"/>
    <mergeCell ref="B101:C101"/>
    <mergeCell ref="B102:C102"/>
    <mergeCell ref="A104:C104"/>
    <mergeCell ref="B105:C105"/>
    <mergeCell ref="B106:C106"/>
    <mergeCell ref="A122:H122"/>
    <mergeCell ref="B94:C94"/>
    <mergeCell ref="B95:C95"/>
    <mergeCell ref="B96:C96"/>
    <mergeCell ref="A98:C98"/>
    <mergeCell ref="B99:C99"/>
    <mergeCell ref="B100:C100"/>
    <mergeCell ref="B87:C87"/>
    <mergeCell ref="B88:C88"/>
    <mergeCell ref="B89:C89"/>
    <mergeCell ref="B90:C90"/>
    <mergeCell ref="B91:C91"/>
    <mergeCell ref="A93:C93"/>
    <mergeCell ref="B80:C80"/>
    <mergeCell ref="B81:C81"/>
    <mergeCell ref="A83:C83"/>
    <mergeCell ref="B84:C84"/>
    <mergeCell ref="B85:C85"/>
    <mergeCell ref="B86:C86"/>
    <mergeCell ref="B74:C74"/>
    <mergeCell ref="B75:C75"/>
    <mergeCell ref="B76:C76"/>
    <mergeCell ref="B77:C77"/>
    <mergeCell ref="B78:C78"/>
    <mergeCell ref="B79:C79"/>
    <mergeCell ref="B67:C67"/>
    <mergeCell ref="B68:C68"/>
    <mergeCell ref="B69:C69"/>
    <mergeCell ref="B70:C70"/>
    <mergeCell ref="B71:C71"/>
    <mergeCell ref="A73:C73"/>
    <mergeCell ref="B58:C58"/>
    <mergeCell ref="B59:C59"/>
    <mergeCell ref="B60:C60"/>
    <mergeCell ref="B61:C61"/>
    <mergeCell ref="B64:C64"/>
    <mergeCell ref="A66:C66"/>
    <mergeCell ref="B62:C62"/>
    <mergeCell ref="B63:C63"/>
    <mergeCell ref="B35:D35"/>
    <mergeCell ref="A36:C36"/>
    <mergeCell ref="A37:B37"/>
    <mergeCell ref="A43:C43"/>
    <mergeCell ref="A56:C56"/>
    <mergeCell ref="B57:C57"/>
    <mergeCell ref="B29:C29"/>
    <mergeCell ref="B30:C30"/>
    <mergeCell ref="B31:C31"/>
    <mergeCell ref="B32:C32"/>
    <mergeCell ref="B33:C33"/>
    <mergeCell ref="B34:C34"/>
    <mergeCell ref="B28:C28"/>
    <mergeCell ref="A13:B13"/>
    <mergeCell ref="C13:G13"/>
    <mergeCell ref="A14:B14"/>
    <mergeCell ref="C14:G14"/>
    <mergeCell ref="A15:B15"/>
    <mergeCell ref="C15:G15"/>
    <mergeCell ref="A8:B8"/>
    <mergeCell ref="C8:G8"/>
    <mergeCell ref="A9:B9"/>
    <mergeCell ref="C9:G9"/>
    <mergeCell ref="A11:G11"/>
    <mergeCell ref="A12:B12"/>
    <mergeCell ref="C12:G12"/>
    <mergeCell ref="A7:H7"/>
    <mergeCell ref="A4:H4"/>
    <mergeCell ref="A1:H1"/>
    <mergeCell ref="A2:H2"/>
    <mergeCell ref="A16:B16"/>
    <mergeCell ref="C16:G16"/>
    <mergeCell ref="A18:D18"/>
    <mergeCell ref="A26:C26"/>
    <mergeCell ref="B27:C27"/>
    <mergeCell ref="A5:H5"/>
    <mergeCell ref="A6:H6"/>
  </mergeCells>
  <pageMargins left="0.511811024" right="0.511811024" top="0.78740157499999996" bottom="0.78740157499999996" header="0.31496062000000002" footer="0.31496062000000002"/>
  <pageSetup paperSize="9" scale="91" orientation="landscape" r:id="rId1"/>
  <headerFooter>
    <oddHeader>&amp;L&amp;G&amp;C&amp;"-,Itálico"&amp;9Processo 23069.152636/2023-41
PE 16/2023&amp;R&amp;G</oddHeader>
    <oddFooter>&amp;L&amp;9&amp;A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999C9-C942-46DF-9263-2427C0EDE18D}">
  <dimension ref="A1:K158"/>
  <sheetViews>
    <sheetView topLeftCell="A70" zoomScaleNormal="100" workbookViewId="0">
      <selection activeCell="A4" sqref="A4:G4"/>
    </sheetView>
  </sheetViews>
  <sheetFormatPr defaultColWidth="8.85546875" defaultRowHeight="15"/>
  <cols>
    <col min="1" max="1" width="9.42578125" bestFit="1" customWidth="1"/>
    <col min="2" max="2" width="57.28515625" customWidth="1"/>
    <col min="3" max="3" width="7.7109375" bestFit="1" customWidth="1"/>
    <col min="4" max="5" width="12.140625" bestFit="1" customWidth="1"/>
    <col min="6" max="6" width="13.28515625" bestFit="1" customWidth="1"/>
    <col min="7" max="7" width="16.140625" bestFit="1" customWidth="1"/>
    <col min="8" max="8" width="12.140625" bestFit="1" customWidth="1"/>
    <col min="9" max="9" width="11.140625" bestFit="1" customWidth="1"/>
    <col min="10" max="10" width="12.7109375" bestFit="1" customWidth="1"/>
    <col min="11" max="11" width="10.5703125" bestFit="1" customWidth="1"/>
  </cols>
  <sheetData>
    <row r="1" spans="1:8" ht="18" customHeight="1">
      <c r="A1" s="208" t="s">
        <v>0</v>
      </c>
      <c r="B1" s="208"/>
      <c r="C1" s="208"/>
      <c r="D1" s="208"/>
      <c r="E1" s="208"/>
      <c r="F1" s="208"/>
      <c r="G1" s="208"/>
      <c r="H1" s="208"/>
    </row>
    <row r="2" spans="1:8" ht="18.75">
      <c r="A2" s="209" t="s">
        <v>2</v>
      </c>
      <c r="B2" s="209"/>
      <c r="C2" s="209"/>
      <c r="D2" s="209"/>
      <c r="E2" s="209"/>
      <c r="F2" s="209"/>
      <c r="G2" s="209"/>
      <c r="H2" s="209"/>
    </row>
    <row r="4" spans="1:8" ht="14.45" customHeight="1">
      <c r="A4" s="242" t="s">
        <v>155</v>
      </c>
      <c r="B4" s="242"/>
      <c r="C4" s="242"/>
      <c r="D4" s="242"/>
      <c r="E4" s="242"/>
      <c r="F4" s="242"/>
      <c r="G4" s="242"/>
      <c r="H4" s="242"/>
    </row>
    <row r="5" spans="1:8" ht="38.450000000000003" customHeight="1">
      <c r="A5" s="211" t="s">
        <v>167</v>
      </c>
      <c r="B5" s="211"/>
      <c r="C5" s="211"/>
      <c r="D5" s="211"/>
      <c r="E5" s="211"/>
      <c r="F5" s="211"/>
      <c r="G5" s="211"/>
      <c r="H5" s="211"/>
    </row>
    <row r="6" spans="1:8" ht="15" customHeight="1">
      <c r="A6" s="241" t="s">
        <v>29</v>
      </c>
      <c r="B6" s="241"/>
      <c r="C6" s="241"/>
      <c r="D6" s="241"/>
      <c r="E6" s="241"/>
      <c r="F6" s="241"/>
      <c r="G6" s="241"/>
      <c r="H6" s="241"/>
    </row>
    <row r="7" spans="1:8" ht="15.75" customHeight="1" thickBot="1">
      <c r="A7" s="241" t="s">
        <v>30</v>
      </c>
      <c r="B7" s="241"/>
      <c r="C7" s="241"/>
      <c r="D7" s="241"/>
      <c r="E7" s="241"/>
      <c r="F7" s="241"/>
      <c r="G7" s="241"/>
      <c r="H7" s="241"/>
    </row>
    <row r="8" spans="1:8">
      <c r="A8" s="258" t="s">
        <v>132</v>
      </c>
      <c r="B8" s="259"/>
      <c r="C8" s="260" t="s">
        <v>133</v>
      </c>
      <c r="D8" s="260"/>
      <c r="E8" s="260"/>
      <c r="F8" s="260"/>
      <c r="G8" s="261"/>
    </row>
    <row r="9" spans="1:8" ht="15.75" thickBot="1">
      <c r="A9" s="262" t="s">
        <v>315</v>
      </c>
      <c r="B9" s="301"/>
      <c r="C9" s="264"/>
      <c r="D9" s="264"/>
      <c r="E9" s="264"/>
      <c r="F9" s="264"/>
      <c r="G9" s="265"/>
    </row>
    <row r="10" spans="1:8" ht="15.75" thickBot="1">
      <c r="A10" s="12"/>
      <c r="B10" s="27"/>
      <c r="C10" s="28"/>
      <c r="D10" s="28"/>
      <c r="E10" s="28"/>
    </row>
    <row r="11" spans="1:8">
      <c r="A11" s="266" t="s">
        <v>134</v>
      </c>
      <c r="B11" s="267"/>
      <c r="C11" s="267"/>
      <c r="D11" s="267"/>
      <c r="E11" s="267"/>
      <c r="F11" s="267"/>
      <c r="G11" s="268"/>
    </row>
    <row r="12" spans="1:8">
      <c r="A12" s="252" t="s">
        <v>135</v>
      </c>
      <c r="B12" s="253"/>
      <c r="C12" s="269" t="s">
        <v>315</v>
      </c>
      <c r="D12" s="269"/>
      <c r="E12" s="269"/>
      <c r="F12" s="269"/>
      <c r="G12" s="302"/>
    </row>
    <row r="13" spans="1:8">
      <c r="A13" s="252" t="s">
        <v>136</v>
      </c>
      <c r="B13" s="253"/>
      <c r="C13" s="269" t="s">
        <v>315</v>
      </c>
      <c r="D13" s="269"/>
      <c r="E13" s="269"/>
      <c r="F13" s="269"/>
      <c r="G13" s="302"/>
    </row>
    <row r="14" spans="1:8">
      <c r="A14" s="256" t="s">
        <v>137</v>
      </c>
      <c r="B14" s="257"/>
      <c r="C14" s="269" t="s">
        <v>315</v>
      </c>
      <c r="D14" s="269"/>
      <c r="E14" s="269"/>
      <c r="F14" s="269"/>
      <c r="G14" s="302"/>
    </row>
    <row r="15" spans="1:8">
      <c r="A15" s="252" t="s">
        <v>138</v>
      </c>
      <c r="B15" s="253"/>
      <c r="C15" s="269" t="s">
        <v>315</v>
      </c>
      <c r="D15" s="269"/>
      <c r="E15" s="269"/>
      <c r="F15" s="269"/>
      <c r="G15" s="302"/>
    </row>
    <row r="16" spans="1:8" ht="15.75" thickBot="1">
      <c r="A16" s="243" t="s">
        <v>139</v>
      </c>
      <c r="B16" s="244"/>
      <c r="C16" s="303" t="s">
        <v>315</v>
      </c>
      <c r="D16" s="303"/>
      <c r="E16" s="303"/>
      <c r="F16" s="303"/>
      <c r="G16" s="304"/>
    </row>
    <row r="17" spans="1:8">
      <c r="A17" s="12"/>
      <c r="B17" s="27"/>
      <c r="C17" s="28"/>
      <c r="D17" s="28"/>
      <c r="E17" s="28"/>
    </row>
    <row r="18" spans="1:8">
      <c r="A18" s="247" t="s">
        <v>140</v>
      </c>
      <c r="B18" s="247"/>
      <c r="C18" s="247"/>
      <c r="D18" s="247"/>
      <c r="E18" s="29"/>
      <c r="F18" s="29"/>
      <c r="G18" s="29"/>
    </row>
    <row r="19" spans="1:8">
      <c r="A19" s="95" t="s">
        <v>141</v>
      </c>
      <c r="B19" s="95" t="s">
        <v>142</v>
      </c>
      <c r="C19" s="96" t="s">
        <v>143</v>
      </c>
      <c r="D19" s="96" t="s">
        <v>144</v>
      </c>
      <c r="E19" s="28"/>
    </row>
    <row r="20" spans="1:8">
      <c r="A20" s="15">
        <v>20.88</v>
      </c>
      <c r="B20" s="15" t="str">
        <f>'Anexo IV - Custo Total MDO'!B14</f>
        <v>Auxiliar de Almoxarife</v>
      </c>
      <c r="C20" s="32" t="s">
        <v>197</v>
      </c>
      <c r="D20" s="97">
        <v>1722.6</v>
      </c>
      <c r="E20" s="28"/>
    </row>
    <row r="21" spans="1:8">
      <c r="A21" s="15">
        <v>20.88</v>
      </c>
      <c r="B21" s="15" t="str">
        <f>'Anexo IV - Custo Total MDO'!B15</f>
        <v>Gerente de Restaurante</v>
      </c>
      <c r="C21" s="32" t="s">
        <v>196</v>
      </c>
      <c r="D21" s="97">
        <v>2288</v>
      </c>
      <c r="E21" s="28"/>
    </row>
    <row r="22" spans="1:8">
      <c r="A22" s="15">
        <v>20.88</v>
      </c>
      <c r="B22" s="15" t="str">
        <f>'Anexo IV - Custo Total MDO'!B16</f>
        <v>Magarefe</v>
      </c>
      <c r="C22" s="32" t="s">
        <v>195</v>
      </c>
      <c r="D22" s="97">
        <v>1848</v>
      </c>
      <c r="E22" s="28"/>
    </row>
    <row r="23" spans="1:8">
      <c r="A23" s="15">
        <v>20.88</v>
      </c>
      <c r="B23" s="15" t="str">
        <f>'Anexo IV - Custo Total MDO'!B17</f>
        <v>Auxiliar de Magarefe</v>
      </c>
      <c r="C23" s="32" t="s">
        <v>194</v>
      </c>
      <c r="D23" s="97">
        <v>1722.6</v>
      </c>
    </row>
    <row r="24" spans="1:8">
      <c r="A24" s="15">
        <v>20.88</v>
      </c>
      <c r="B24" s="15" t="str">
        <f>'Anexo IV - Custo Total MDO'!B18</f>
        <v>Cozinheiro Industrial</v>
      </c>
      <c r="C24" s="32" t="s">
        <v>193</v>
      </c>
      <c r="D24" s="97">
        <v>1848</v>
      </c>
      <c r="E24" s="13"/>
    </row>
    <row r="25" spans="1:8" ht="15.75" thickBot="1">
      <c r="A25" s="12"/>
      <c r="B25" s="12"/>
      <c r="C25" s="13"/>
      <c r="D25" s="13"/>
      <c r="E25" s="13"/>
    </row>
    <row r="26" spans="1:8">
      <c r="A26" s="305" t="s">
        <v>31</v>
      </c>
      <c r="B26" s="306"/>
      <c r="C26" s="307"/>
      <c r="D26" s="34" t="s">
        <v>185</v>
      </c>
      <c r="E26" s="35" t="s">
        <v>186</v>
      </c>
      <c r="F26" s="35" t="s">
        <v>174</v>
      </c>
      <c r="G26" s="35" t="s">
        <v>187</v>
      </c>
      <c r="H26" s="178" t="s">
        <v>188</v>
      </c>
    </row>
    <row r="27" spans="1:8">
      <c r="A27" s="36">
        <v>1</v>
      </c>
      <c r="B27" s="308" t="s">
        <v>32</v>
      </c>
      <c r="C27" s="309"/>
      <c r="D27" s="37" t="s">
        <v>33</v>
      </c>
      <c r="E27" s="37" t="s">
        <v>33</v>
      </c>
      <c r="F27" s="37" t="s">
        <v>33</v>
      </c>
      <c r="G27" s="38" t="s">
        <v>33</v>
      </c>
      <c r="H27" s="38" t="s">
        <v>33</v>
      </c>
    </row>
    <row r="28" spans="1:8">
      <c r="A28" s="39" t="s">
        <v>34</v>
      </c>
      <c r="B28" s="283" t="s">
        <v>35</v>
      </c>
      <c r="C28" s="284"/>
      <c r="D28" s="40">
        <f>D20</f>
        <v>1722.6</v>
      </c>
      <c r="E28" s="17">
        <f>D21</f>
        <v>2288</v>
      </c>
      <c r="F28" s="41">
        <f>D22</f>
        <v>1848</v>
      </c>
      <c r="G28" s="42">
        <f>D23</f>
        <v>1722.6</v>
      </c>
      <c r="H28" s="42">
        <f>D24</f>
        <v>1848</v>
      </c>
    </row>
    <row r="29" spans="1:8">
      <c r="A29" s="39" t="s">
        <v>36</v>
      </c>
      <c r="B29" s="283" t="s">
        <v>37</v>
      </c>
      <c r="C29" s="284"/>
      <c r="D29" s="43"/>
      <c r="E29" s="16"/>
      <c r="F29" s="44"/>
      <c r="G29" s="45"/>
      <c r="H29" s="45"/>
    </row>
    <row r="30" spans="1:8">
      <c r="A30" s="39" t="s">
        <v>38</v>
      </c>
      <c r="B30" s="283" t="s">
        <v>145</v>
      </c>
      <c r="C30" s="284"/>
      <c r="D30" s="43"/>
      <c r="E30" s="16"/>
      <c r="F30" s="46"/>
      <c r="G30" s="45"/>
      <c r="H30" s="45"/>
    </row>
    <row r="31" spans="1:8">
      <c r="A31" s="39" t="s">
        <v>39</v>
      </c>
      <c r="B31" s="312" t="s">
        <v>40</v>
      </c>
      <c r="C31" s="313"/>
      <c r="D31" s="43"/>
      <c r="E31" s="17"/>
      <c r="F31" s="44"/>
      <c r="G31" s="17"/>
      <c r="H31" s="179"/>
    </row>
    <row r="32" spans="1:8">
      <c r="A32" s="39" t="s">
        <v>41</v>
      </c>
      <c r="B32" s="312" t="s">
        <v>42</v>
      </c>
      <c r="C32" s="313"/>
      <c r="D32" s="43"/>
      <c r="E32" s="16"/>
      <c r="F32" s="44"/>
      <c r="G32" s="45"/>
      <c r="H32" s="45"/>
    </row>
    <row r="33" spans="1:8">
      <c r="A33" s="39" t="s">
        <v>43</v>
      </c>
      <c r="B33" s="314" t="s">
        <v>165</v>
      </c>
      <c r="C33" s="315"/>
      <c r="D33" s="47"/>
      <c r="E33" s="16"/>
      <c r="F33" s="41"/>
      <c r="G33" s="42"/>
      <c r="H33" s="42"/>
    </row>
    <row r="34" spans="1:8" ht="15.75" thickBot="1">
      <c r="A34" s="48"/>
      <c r="B34" s="316" t="s">
        <v>45</v>
      </c>
      <c r="C34" s="317"/>
      <c r="D34" s="49">
        <f>SUM(D28:D33)</f>
        <v>1722.6</v>
      </c>
      <c r="E34" s="49">
        <f t="shared" ref="E34:G34" si="0">SUM(E28:E33)</f>
        <v>2288</v>
      </c>
      <c r="F34" s="49">
        <f t="shared" si="0"/>
        <v>1848</v>
      </c>
      <c r="G34" s="50">
        <f t="shared" si="0"/>
        <v>1722.6</v>
      </c>
      <c r="H34" s="50">
        <f t="shared" ref="H34" si="1">SUM(H28:H33)</f>
        <v>1848</v>
      </c>
    </row>
    <row r="35" spans="1:8" ht="15.75" thickBot="1">
      <c r="A35" s="12"/>
      <c r="B35" s="270"/>
      <c r="C35" s="270"/>
      <c r="D35" s="270"/>
      <c r="E35" s="13"/>
    </row>
    <row r="36" spans="1:8">
      <c r="A36" s="271" t="s">
        <v>46</v>
      </c>
      <c r="B36" s="272"/>
      <c r="C36" s="272"/>
      <c r="D36" s="34" t="s">
        <v>185</v>
      </c>
      <c r="E36" s="35" t="s">
        <v>186</v>
      </c>
      <c r="F36" s="35" t="s">
        <v>174</v>
      </c>
      <c r="G36" s="35" t="s">
        <v>187</v>
      </c>
      <c r="H36" s="178" t="s">
        <v>188</v>
      </c>
    </row>
    <row r="37" spans="1:8">
      <c r="A37" s="310" t="s">
        <v>47</v>
      </c>
      <c r="B37" s="311"/>
      <c r="C37" s="51"/>
      <c r="D37" s="37" t="s">
        <v>33</v>
      </c>
      <c r="E37" s="37" t="s">
        <v>33</v>
      </c>
      <c r="F37" s="37" t="s">
        <v>33</v>
      </c>
      <c r="G37" s="37" t="s">
        <v>33</v>
      </c>
      <c r="H37" s="38" t="s">
        <v>33</v>
      </c>
    </row>
    <row r="38" spans="1:8">
      <c r="A38" s="39" t="s">
        <v>34</v>
      </c>
      <c r="B38" s="53" t="s">
        <v>51</v>
      </c>
      <c r="C38" s="53"/>
      <c r="D38" s="54">
        <f>D34*8.33%</f>
        <v>143.49258</v>
      </c>
      <c r="E38" s="54">
        <f>E34*8.33%</f>
        <v>190.59039999999999</v>
      </c>
      <c r="F38" s="54">
        <f t="shared" ref="F38:G38" si="2">F34*8.33%</f>
        <v>153.9384</v>
      </c>
      <c r="G38" s="54">
        <f t="shared" si="2"/>
        <v>143.49258</v>
      </c>
      <c r="H38" s="186">
        <f>H34*8.33%</f>
        <v>153.9384</v>
      </c>
    </row>
    <row r="39" spans="1:8">
      <c r="A39" s="39" t="s">
        <v>36</v>
      </c>
      <c r="B39" s="53" t="s">
        <v>52</v>
      </c>
      <c r="C39" s="53"/>
      <c r="D39" s="54">
        <f>D34*12.1%</f>
        <v>208.43459999999999</v>
      </c>
      <c r="E39" s="54">
        <f>E34*12.1%</f>
        <v>276.84800000000001</v>
      </c>
      <c r="F39" s="54">
        <f t="shared" ref="F39:G39" si="3">F34*12.1%</f>
        <v>223.608</v>
      </c>
      <c r="G39" s="54">
        <f t="shared" si="3"/>
        <v>208.43459999999999</v>
      </c>
      <c r="H39" s="186">
        <f>H34*12.1%</f>
        <v>223.608</v>
      </c>
    </row>
    <row r="40" spans="1:8">
      <c r="A40" s="39"/>
      <c r="B40" s="51" t="s">
        <v>53</v>
      </c>
      <c r="C40" s="51"/>
      <c r="D40" s="55">
        <f>SUM(D38:D39)</f>
        <v>351.92718000000002</v>
      </c>
      <c r="E40" s="55">
        <f>SUM(E38:E39)</f>
        <v>467.4384</v>
      </c>
      <c r="F40" s="55">
        <f t="shared" ref="F40:G40" si="4">SUM(F38:F39)</f>
        <v>377.54640000000001</v>
      </c>
      <c r="G40" s="55">
        <f t="shared" si="4"/>
        <v>351.92718000000002</v>
      </c>
      <c r="H40" s="188">
        <f>SUM(H38:H39)</f>
        <v>377.54640000000001</v>
      </c>
    </row>
    <row r="41" spans="1:8" ht="60.75" thickBot="1">
      <c r="A41" s="112" t="s">
        <v>38</v>
      </c>
      <c r="B41" s="113" t="s">
        <v>54</v>
      </c>
      <c r="C41" s="113"/>
      <c r="D41" s="114">
        <f>D34*7.82%</f>
        <v>134.70732000000001</v>
      </c>
      <c r="E41" s="114">
        <f>E34*7.82%</f>
        <v>178.92160000000001</v>
      </c>
      <c r="F41" s="114">
        <f t="shared" ref="F41:G41" si="5">F34*7.82%</f>
        <v>144.5136</v>
      </c>
      <c r="G41" s="114">
        <f t="shared" si="5"/>
        <v>134.70732000000001</v>
      </c>
      <c r="H41" s="197">
        <f>H34*7.82%</f>
        <v>144.5136</v>
      </c>
    </row>
    <row r="42" spans="1:8" ht="15.75" thickBot="1">
      <c r="A42" s="12"/>
      <c r="B42" s="12"/>
      <c r="C42" s="12"/>
      <c r="D42" s="12"/>
      <c r="E42" s="13"/>
    </row>
    <row r="43" spans="1:8" ht="32.450000000000003" customHeight="1">
      <c r="A43" s="275" t="s">
        <v>55</v>
      </c>
      <c r="B43" s="276"/>
      <c r="C43" s="276"/>
      <c r="D43" s="34" t="s">
        <v>185</v>
      </c>
      <c r="E43" s="35" t="s">
        <v>186</v>
      </c>
      <c r="F43" s="35" t="s">
        <v>174</v>
      </c>
      <c r="G43" s="35" t="s">
        <v>187</v>
      </c>
      <c r="H43" s="178" t="s">
        <v>188</v>
      </c>
    </row>
    <row r="44" spans="1:8">
      <c r="A44" s="36" t="s">
        <v>56</v>
      </c>
      <c r="B44" s="56" t="s">
        <v>57</v>
      </c>
      <c r="C44" s="57" t="s">
        <v>58</v>
      </c>
      <c r="D44" s="58" t="s">
        <v>33</v>
      </c>
      <c r="E44" s="58" t="s">
        <v>33</v>
      </c>
      <c r="F44" s="58" t="s">
        <v>33</v>
      </c>
      <c r="G44" s="58" t="s">
        <v>33</v>
      </c>
      <c r="H44" s="185" t="s">
        <v>33</v>
      </c>
    </row>
    <row r="45" spans="1:8">
      <c r="A45" s="39" t="s">
        <v>34</v>
      </c>
      <c r="B45" s="59" t="s">
        <v>59</v>
      </c>
      <c r="C45" s="60">
        <v>20</v>
      </c>
      <c r="D45" s="54">
        <f>(D34*($C$45/100))</f>
        <v>344.52</v>
      </c>
      <c r="E45" s="54">
        <f t="shared" ref="E45:G45" si="6">(E34*($C$45/100))</f>
        <v>457.6</v>
      </c>
      <c r="F45" s="54">
        <f t="shared" si="6"/>
        <v>369.6</v>
      </c>
      <c r="G45" s="54">
        <f t="shared" si="6"/>
        <v>344.52</v>
      </c>
      <c r="H45" s="186">
        <f>(H34*($C$45/100))</f>
        <v>369.6</v>
      </c>
    </row>
    <row r="46" spans="1:8">
      <c r="A46" s="39" t="s">
        <v>36</v>
      </c>
      <c r="B46" s="61" t="s">
        <v>60</v>
      </c>
      <c r="C46" s="62">
        <v>2.5</v>
      </c>
      <c r="D46" s="63">
        <f>(D34*($C$46/100))</f>
        <v>43.064999999999998</v>
      </c>
      <c r="E46" s="63">
        <f t="shared" ref="E46:G46" si="7">(E34*($C$46/100))</f>
        <v>57.2</v>
      </c>
      <c r="F46" s="63">
        <f t="shared" si="7"/>
        <v>46.2</v>
      </c>
      <c r="G46" s="63">
        <f t="shared" si="7"/>
        <v>43.064999999999998</v>
      </c>
      <c r="H46" s="196">
        <f t="shared" ref="H46" si="8">(H34*($C$46/100))</f>
        <v>46.2</v>
      </c>
    </row>
    <row r="47" spans="1:8">
      <c r="A47" s="39" t="s">
        <v>38</v>
      </c>
      <c r="B47" s="59" t="s">
        <v>61</v>
      </c>
      <c r="C47" s="60">
        <v>6</v>
      </c>
      <c r="D47" s="54">
        <f>(D$34*($C$47/100))</f>
        <v>103.35599999999999</v>
      </c>
      <c r="E47" s="54">
        <f t="shared" ref="E47:H47" si="9">(E$34*($C$47/100))</f>
        <v>137.28</v>
      </c>
      <c r="F47" s="54">
        <f t="shared" si="9"/>
        <v>110.88</v>
      </c>
      <c r="G47" s="54">
        <f t="shared" si="9"/>
        <v>103.35599999999999</v>
      </c>
      <c r="H47" s="186">
        <f t="shared" si="9"/>
        <v>110.88</v>
      </c>
    </row>
    <row r="48" spans="1:8">
      <c r="A48" s="39" t="s">
        <v>39</v>
      </c>
      <c r="B48" s="61" t="s">
        <v>62</v>
      </c>
      <c r="C48" s="62">
        <v>1.5</v>
      </c>
      <c r="D48" s="54">
        <f>(D$34*($C$48/100))</f>
        <v>25.838999999999999</v>
      </c>
      <c r="E48" s="54">
        <f t="shared" ref="E48:H48" si="10">(E$34*($C$48/100))</f>
        <v>34.32</v>
      </c>
      <c r="F48" s="54">
        <f t="shared" si="10"/>
        <v>27.72</v>
      </c>
      <c r="G48" s="54">
        <f t="shared" si="10"/>
        <v>25.838999999999999</v>
      </c>
      <c r="H48" s="186">
        <f t="shared" si="10"/>
        <v>27.72</v>
      </c>
    </row>
    <row r="49" spans="1:8">
      <c r="A49" s="39" t="s">
        <v>41</v>
      </c>
      <c r="B49" s="61" t="s">
        <v>63</v>
      </c>
      <c r="C49" s="62">
        <v>1</v>
      </c>
      <c r="D49" s="54">
        <f>(D$34*($C$49/100))</f>
        <v>17.225999999999999</v>
      </c>
      <c r="E49" s="54">
        <f t="shared" ref="E49:H49" si="11">(E$34*($C$49/100))</f>
        <v>22.88</v>
      </c>
      <c r="F49" s="54">
        <f t="shared" si="11"/>
        <v>18.48</v>
      </c>
      <c r="G49" s="54">
        <f t="shared" si="11"/>
        <v>17.225999999999999</v>
      </c>
      <c r="H49" s="186">
        <f t="shared" si="11"/>
        <v>18.48</v>
      </c>
    </row>
    <row r="50" spans="1:8">
      <c r="A50" s="39" t="s">
        <v>43</v>
      </c>
      <c r="B50" s="61" t="s">
        <v>64</v>
      </c>
      <c r="C50" s="62">
        <v>0.6</v>
      </c>
      <c r="D50" s="54">
        <f>(D$34*($C$50/100))</f>
        <v>10.335599999999999</v>
      </c>
      <c r="E50" s="54">
        <f t="shared" ref="E50:H50" si="12">(E$34*($C$50/100))</f>
        <v>13.728</v>
      </c>
      <c r="F50" s="54">
        <f t="shared" si="12"/>
        <v>11.088000000000001</v>
      </c>
      <c r="G50" s="54">
        <f t="shared" si="12"/>
        <v>10.335599999999999</v>
      </c>
      <c r="H50" s="186">
        <f t="shared" si="12"/>
        <v>11.088000000000001</v>
      </c>
    </row>
    <row r="51" spans="1:8">
      <c r="A51" s="39" t="s">
        <v>65</v>
      </c>
      <c r="B51" s="61" t="s">
        <v>66</v>
      </c>
      <c r="C51" s="62">
        <v>0.2</v>
      </c>
      <c r="D51" s="54">
        <f>(D$34*($C$51/100))</f>
        <v>3.4451999999999998</v>
      </c>
      <c r="E51" s="54">
        <f t="shared" ref="E51:H51" si="13">(E$34*($C$51/100))</f>
        <v>4.5760000000000005</v>
      </c>
      <c r="F51" s="54">
        <f t="shared" si="13"/>
        <v>3.6960000000000002</v>
      </c>
      <c r="G51" s="54">
        <f t="shared" si="13"/>
        <v>3.4451999999999998</v>
      </c>
      <c r="H51" s="186">
        <f t="shared" si="13"/>
        <v>3.6960000000000002</v>
      </c>
    </row>
    <row r="52" spans="1:8">
      <c r="A52" s="39" t="s">
        <v>67</v>
      </c>
      <c r="B52" s="59" t="s">
        <v>68</v>
      </c>
      <c r="C52" s="60">
        <v>8</v>
      </c>
      <c r="D52" s="54">
        <f>(D$34*($C$52/100))</f>
        <v>137.80799999999999</v>
      </c>
      <c r="E52" s="54">
        <f t="shared" ref="E52:H52" si="14">(E$34*($C$52/100))</f>
        <v>183.04</v>
      </c>
      <c r="F52" s="54">
        <f t="shared" si="14"/>
        <v>147.84</v>
      </c>
      <c r="G52" s="54">
        <f t="shared" si="14"/>
        <v>137.80799999999999</v>
      </c>
      <c r="H52" s="186">
        <f t="shared" si="14"/>
        <v>147.84</v>
      </c>
    </row>
    <row r="53" spans="1:8" ht="15.75" thickBot="1">
      <c r="A53" s="48"/>
      <c r="B53" s="109" t="s">
        <v>69</v>
      </c>
      <c r="C53" s="111">
        <f>SUM(C45:C52)</f>
        <v>39.799999999999997</v>
      </c>
      <c r="D53" s="102">
        <f>SUM(D45:D52)</f>
        <v>685.59479999999996</v>
      </c>
      <c r="E53" s="102">
        <f t="shared" ref="E53:G53" si="15">SUM(E45:E52)</f>
        <v>910.62400000000002</v>
      </c>
      <c r="F53" s="102">
        <f t="shared" si="15"/>
        <v>735.50400000000013</v>
      </c>
      <c r="G53" s="102">
        <f t="shared" si="15"/>
        <v>685.59479999999996</v>
      </c>
      <c r="H53" s="187">
        <f t="shared" ref="H53" si="16">SUM(H45:H52)</f>
        <v>735.50400000000013</v>
      </c>
    </row>
    <row r="54" spans="1:8">
      <c r="A54" s="64"/>
      <c r="B54" s="65" t="s">
        <v>70</v>
      </c>
      <c r="C54" s="64"/>
      <c r="D54" s="64"/>
      <c r="E54" s="13"/>
    </row>
    <row r="55" spans="1:8" ht="15.75" thickBot="1">
      <c r="A55" s="64"/>
      <c r="B55" s="65"/>
      <c r="C55" s="64"/>
      <c r="D55" s="64"/>
      <c r="E55" s="13"/>
    </row>
    <row r="56" spans="1:8">
      <c r="A56" s="277" t="s">
        <v>71</v>
      </c>
      <c r="B56" s="278"/>
      <c r="C56" s="278"/>
      <c r="D56" s="34" t="s">
        <v>185</v>
      </c>
      <c r="E56" s="35" t="s">
        <v>186</v>
      </c>
      <c r="F56" s="35" t="s">
        <v>174</v>
      </c>
      <c r="G56" s="35" t="s">
        <v>187</v>
      </c>
      <c r="H56" s="178" t="s">
        <v>188</v>
      </c>
    </row>
    <row r="57" spans="1:8">
      <c r="A57" s="36" t="s">
        <v>72</v>
      </c>
      <c r="B57" s="250" t="s">
        <v>73</v>
      </c>
      <c r="C57" s="250"/>
      <c r="D57" s="37" t="s">
        <v>33</v>
      </c>
      <c r="E57" s="37" t="s">
        <v>33</v>
      </c>
      <c r="F57" s="37" t="s">
        <v>33</v>
      </c>
      <c r="G57" s="37" t="s">
        <v>33</v>
      </c>
      <c r="H57" s="38" t="s">
        <v>33</v>
      </c>
    </row>
    <row r="58" spans="1:8">
      <c r="A58" s="39" t="s">
        <v>34</v>
      </c>
      <c r="B58" s="282" t="s">
        <v>240</v>
      </c>
      <c r="C58" s="282"/>
      <c r="D58" s="66">
        <f>(4.45*4*A20)-(6%*D20)</f>
        <v>268.30799999999999</v>
      </c>
      <c r="E58" s="66">
        <f>(4.45*4*A21)-(6%*D21)</f>
        <v>234.38399999999999</v>
      </c>
      <c r="F58" s="66">
        <f>(4.45*4*A22)-(6%*D22)</f>
        <v>260.78399999999999</v>
      </c>
      <c r="G58" s="66">
        <f>(4.45*4*A23)-(6%*D23)</f>
        <v>268.30799999999999</v>
      </c>
      <c r="H58" s="193">
        <f>(4.45*4*A24)-(6%*D24)</f>
        <v>260.78399999999999</v>
      </c>
    </row>
    <row r="59" spans="1:8">
      <c r="A59" s="39" t="s">
        <v>36</v>
      </c>
      <c r="B59" s="251" t="s">
        <v>237</v>
      </c>
      <c r="C59" s="251"/>
      <c r="D59" s="67"/>
      <c r="E59" s="67"/>
      <c r="F59" s="67"/>
      <c r="G59" s="67"/>
      <c r="H59" s="194"/>
    </row>
    <row r="60" spans="1:8">
      <c r="A60" s="39" t="s">
        <v>38</v>
      </c>
      <c r="B60" s="251" t="s">
        <v>238</v>
      </c>
      <c r="C60" s="251"/>
      <c r="D60" s="66">
        <v>59.63</v>
      </c>
      <c r="E60" s="66">
        <v>59.63</v>
      </c>
      <c r="F60" s="66">
        <v>59.63</v>
      </c>
      <c r="G60" s="66">
        <v>59.63</v>
      </c>
      <c r="H60" s="193">
        <v>59.63</v>
      </c>
    </row>
    <row r="61" spans="1:8">
      <c r="A61" s="39" t="s">
        <v>39</v>
      </c>
      <c r="B61" s="251" t="s">
        <v>239</v>
      </c>
      <c r="C61" s="251"/>
      <c r="D61" s="66">
        <v>31</v>
      </c>
      <c r="E61" s="66">
        <v>31</v>
      </c>
      <c r="F61" s="66">
        <v>31</v>
      </c>
      <c r="G61" s="66">
        <v>31</v>
      </c>
      <c r="H61" s="193">
        <v>17</v>
      </c>
    </row>
    <row r="62" spans="1:8">
      <c r="A62" s="140" t="s">
        <v>41</v>
      </c>
      <c r="B62" s="283" t="s">
        <v>241</v>
      </c>
      <c r="C62" s="284"/>
      <c r="D62" s="66">
        <f>255-29.9</f>
        <v>225.1</v>
      </c>
      <c r="E62" s="66">
        <f t="shared" ref="E62:G62" si="17">255-29.9</f>
        <v>225.1</v>
      </c>
      <c r="F62" s="66">
        <f t="shared" si="17"/>
        <v>225.1</v>
      </c>
      <c r="G62" s="66">
        <f t="shared" si="17"/>
        <v>225.1</v>
      </c>
      <c r="H62" s="193">
        <f t="shared" ref="H62" si="18">255-29.9</f>
        <v>225.1</v>
      </c>
    </row>
    <row r="63" spans="1:8">
      <c r="A63" s="140" t="s">
        <v>43</v>
      </c>
      <c r="B63" s="283" t="s">
        <v>242</v>
      </c>
      <c r="C63" s="284"/>
      <c r="D63" s="141">
        <f>(255-29.9)/12</f>
        <v>18.758333333333333</v>
      </c>
      <c r="E63" s="141">
        <f t="shared" ref="E63:H63" si="19">(255-29.9)/12</f>
        <v>18.758333333333333</v>
      </c>
      <c r="F63" s="141">
        <f t="shared" si="19"/>
        <v>18.758333333333333</v>
      </c>
      <c r="G63" s="141">
        <f t="shared" si="19"/>
        <v>18.758333333333333</v>
      </c>
      <c r="H63" s="195">
        <f t="shared" si="19"/>
        <v>18.758333333333333</v>
      </c>
    </row>
    <row r="64" spans="1:8" ht="15.75" thickBot="1">
      <c r="A64" s="48"/>
      <c r="B64" s="281" t="s">
        <v>74</v>
      </c>
      <c r="C64" s="281"/>
      <c r="D64" s="49">
        <f>SUM(D58:D63)</f>
        <v>602.79633333333334</v>
      </c>
      <c r="E64" s="49">
        <f t="shared" ref="E64:H64" si="20">SUM(E58:E63)</f>
        <v>568.87233333333336</v>
      </c>
      <c r="F64" s="49">
        <f t="shared" si="20"/>
        <v>595.27233333333334</v>
      </c>
      <c r="G64" s="49">
        <f t="shared" si="20"/>
        <v>602.79633333333334</v>
      </c>
      <c r="H64" s="50">
        <f t="shared" si="20"/>
        <v>581.27233333333334</v>
      </c>
    </row>
    <row r="65" spans="1:8" ht="15.75" thickBot="1">
      <c r="A65" s="64"/>
      <c r="B65" s="69"/>
      <c r="C65" s="70"/>
      <c r="D65" s="70"/>
      <c r="E65" s="13"/>
    </row>
    <row r="66" spans="1:8">
      <c r="A66" s="271" t="s">
        <v>75</v>
      </c>
      <c r="B66" s="272"/>
      <c r="C66" s="272"/>
      <c r="D66" s="34" t="s">
        <v>185</v>
      </c>
      <c r="E66" s="35" t="s">
        <v>186</v>
      </c>
      <c r="F66" s="35" t="s">
        <v>174</v>
      </c>
      <c r="G66" s="35" t="s">
        <v>187</v>
      </c>
      <c r="H66" s="178" t="s">
        <v>188</v>
      </c>
    </row>
    <row r="67" spans="1:8">
      <c r="A67" s="39">
        <v>2</v>
      </c>
      <c r="B67" s="250" t="s">
        <v>76</v>
      </c>
      <c r="C67" s="250"/>
      <c r="D67" s="71" t="s">
        <v>50</v>
      </c>
      <c r="E67" s="71" t="s">
        <v>50</v>
      </c>
      <c r="F67" s="71" t="s">
        <v>50</v>
      </c>
      <c r="G67" s="71" t="s">
        <v>50</v>
      </c>
      <c r="H67" s="180" t="s">
        <v>50</v>
      </c>
    </row>
    <row r="68" spans="1:8">
      <c r="A68" s="39" t="s">
        <v>48</v>
      </c>
      <c r="B68" s="251" t="s">
        <v>49</v>
      </c>
      <c r="C68" s="251"/>
      <c r="D68" s="68">
        <f t="shared" ref="D68:G68" si="21">D40</f>
        <v>351.92718000000002</v>
      </c>
      <c r="E68" s="68">
        <f t="shared" si="21"/>
        <v>467.4384</v>
      </c>
      <c r="F68" s="68">
        <f t="shared" si="21"/>
        <v>377.54640000000001</v>
      </c>
      <c r="G68" s="68">
        <f t="shared" si="21"/>
        <v>351.92718000000002</v>
      </c>
      <c r="H68" s="181">
        <f t="shared" ref="H68" si="22">H40</f>
        <v>377.54640000000001</v>
      </c>
    </row>
    <row r="69" spans="1:8">
      <c r="A69" s="39" t="s">
        <v>56</v>
      </c>
      <c r="B69" s="251" t="s">
        <v>57</v>
      </c>
      <c r="C69" s="251"/>
      <c r="D69" s="68">
        <f t="shared" ref="D69:G69" si="23">D53+D41</f>
        <v>820.30211999999995</v>
      </c>
      <c r="E69" s="68">
        <f t="shared" si="23"/>
        <v>1089.5455999999999</v>
      </c>
      <c r="F69" s="68">
        <f t="shared" si="23"/>
        <v>880.01760000000013</v>
      </c>
      <c r="G69" s="68">
        <f t="shared" si="23"/>
        <v>820.30211999999995</v>
      </c>
      <c r="H69" s="181">
        <f t="shared" ref="H69" si="24">H53+H41</f>
        <v>880.01760000000013</v>
      </c>
    </row>
    <row r="70" spans="1:8">
      <c r="A70" s="39" t="s">
        <v>72</v>
      </c>
      <c r="B70" s="251" t="s">
        <v>73</v>
      </c>
      <c r="C70" s="251"/>
      <c r="D70" s="68">
        <f t="shared" ref="D70:G70" si="25">D64</f>
        <v>602.79633333333334</v>
      </c>
      <c r="E70" s="68">
        <f t="shared" si="25"/>
        <v>568.87233333333336</v>
      </c>
      <c r="F70" s="68">
        <f t="shared" si="25"/>
        <v>595.27233333333334</v>
      </c>
      <c r="G70" s="68">
        <f t="shared" si="25"/>
        <v>602.79633333333334</v>
      </c>
      <c r="H70" s="181">
        <f t="shared" ref="H70" si="26">H64</f>
        <v>581.27233333333334</v>
      </c>
    </row>
    <row r="71" spans="1:8" ht="15.75" thickBot="1">
      <c r="A71" s="101"/>
      <c r="B71" s="281" t="s">
        <v>53</v>
      </c>
      <c r="C71" s="281"/>
      <c r="D71" s="49">
        <f t="shared" ref="D71:G71" si="27">SUM(D68:D70)</f>
        <v>1775.0256333333332</v>
      </c>
      <c r="E71" s="49">
        <f t="shared" si="27"/>
        <v>2125.8563333333332</v>
      </c>
      <c r="F71" s="49">
        <f t="shared" si="27"/>
        <v>1852.8363333333334</v>
      </c>
      <c r="G71" s="49">
        <f t="shared" si="27"/>
        <v>1775.0256333333332</v>
      </c>
      <c r="H71" s="50">
        <f t="shared" ref="H71" si="28">SUM(H68:H70)</f>
        <v>1838.8363333333334</v>
      </c>
    </row>
    <row r="72" spans="1:8" ht="15.75" thickBot="1">
      <c r="A72" s="12"/>
      <c r="B72" s="72"/>
      <c r="C72" s="70"/>
      <c r="D72" s="70"/>
      <c r="E72" s="13"/>
    </row>
    <row r="73" spans="1:8">
      <c r="A73" s="271" t="s">
        <v>77</v>
      </c>
      <c r="B73" s="272"/>
      <c r="C73" s="272"/>
      <c r="D73" s="34" t="s">
        <v>185</v>
      </c>
      <c r="E73" s="35" t="s">
        <v>186</v>
      </c>
      <c r="F73" s="35" t="s">
        <v>174</v>
      </c>
      <c r="G73" s="35" t="s">
        <v>187</v>
      </c>
      <c r="H73" s="178" t="s">
        <v>188</v>
      </c>
    </row>
    <row r="74" spans="1:8">
      <c r="A74" s="36">
        <v>3</v>
      </c>
      <c r="B74" s="274" t="s">
        <v>78</v>
      </c>
      <c r="C74" s="274"/>
      <c r="D74" s="58" t="s">
        <v>33</v>
      </c>
      <c r="E74" s="58" t="s">
        <v>33</v>
      </c>
      <c r="F74" s="58" t="s">
        <v>33</v>
      </c>
      <c r="G74" s="58" t="s">
        <v>33</v>
      </c>
      <c r="H74" s="185" t="s">
        <v>33</v>
      </c>
    </row>
    <row r="75" spans="1:8">
      <c r="A75" s="39" t="s">
        <v>34</v>
      </c>
      <c r="B75" s="279" t="s">
        <v>79</v>
      </c>
      <c r="C75" s="279"/>
      <c r="D75" s="73">
        <f t="shared" ref="D75:G75" si="29">((D34+D38+D39)/12)*5%</f>
        <v>8.6438632500000008</v>
      </c>
      <c r="E75" s="73">
        <f t="shared" si="29"/>
        <v>11.480993333333334</v>
      </c>
      <c r="F75" s="73">
        <f t="shared" si="29"/>
        <v>9.2731100000000009</v>
      </c>
      <c r="G75" s="73">
        <f t="shared" si="29"/>
        <v>8.6438632500000008</v>
      </c>
      <c r="H75" s="191">
        <f t="shared" ref="H75" si="30">((H34+H38+H39)/12)*5%</f>
        <v>9.2731100000000009</v>
      </c>
    </row>
    <row r="76" spans="1:8">
      <c r="A76" s="39" t="s">
        <v>36</v>
      </c>
      <c r="B76" s="279" t="s">
        <v>80</v>
      </c>
      <c r="C76" s="279"/>
      <c r="D76" s="74">
        <f t="shared" ref="D76:G76" si="31">((D34+D38)/12)*5%*8%</f>
        <v>0.62203085999999996</v>
      </c>
      <c r="E76" s="74">
        <f t="shared" si="31"/>
        <v>0.82619680000000018</v>
      </c>
      <c r="F76" s="74">
        <f t="shared" si="31"/>
        <v>0.66731280000000015</v>
      </c>
      <c r="G76" s="74">
        <f t="shared" si="31"/>
        <v>0.62203085999999996</v>
      </c>
      <c r="H76" s="190">
        <f t="shared" ref="H76" si="32">((H34+H38)/12)*5%*8%</f>
        <v>0.66731280000000015</v>
      </c>
    </row>
    <row r="77" spans="1:8">
      <c r="A77" s="39" t="s">
        <v>38</v>
      </c>
      <c r="B77" s="279" t="s">
        <v>81</v>
      </c>
      <c r="C77" s="279"/>
      <c r="D77" s="74">
        <v>0</v>
      </c>
      <c r="E77" s="74">
        <v>0</v>
      </c>
      <c r="F77" s="74">
        <v>0</v>
      </c>
      <c r="G77" s="74">
        <v>0</v>
      </c>
      <c r="H77" s="190">
        <v>0</v>
      </c>
    </row>
    <row r="78" spans="1:8">
      <c r="A78" s="39" t="s">
        <v>39</v>
      </c>
      <c r="B78" s="279" t="s">
        <v>82</v>
      </c>
      <c r="C78" s="279"/>
      <c r="D78" s="74">
        <f>(((D34+D60+D61)/30/12)*7)</f>
        <v>35.257250000000006</v>
      </c>
      <c r="E78" s="74">
        <f t="shared" ref="E78:H78" si="33">(((E34+E60+E61)/30/12)*7)</f>
        <v>46.251138888888889</v>
      </c>
      <c r="F78" s="74">
        <f t="shared" si="33"/>
        <v>37.695583333333339</v>
      </c>
      <c r="G78" s="74">
        <f t="shared" si="33"/>
        <v>35.257250000000006</v>
      </c>
      <c r="H78" s="74">
        <f t="shared" si="33"/>
        <v>37.42336111111112</v>
      </c>
    </row>
    <row r="79" spans="1:8" ht="24" customHeight="1">
      <c r="A79" s="39" t="s">
        <v>41</v>
      </c>
      <c r="B79" s="279" t="s">
        <v>83</v>
      </c>
      <c r="C79" s="279"/>
      <c r="D79" s="75">
        <f t="shared" ref="D79:G79" si="34">(D34/30/12*7)*8%</f>
        <v>2.6795999999999998</v>
      </c>
      <c r="E79" s="75">
        <f t="shared" si="34"/>
        <v>3.5591111111111111</v>
      </c>
      <c r="F79" s="75">
        <f t="shared" si="34"/>
        <v>2.8746666666666671</v>
      </c>
      <c r="G79" s="75">
        <f t="shared" si="34"/>
        <v>2.6795999999999998</v>
      </c>
      <c r="H79" s="192">
        <f t="shared" ref="H79" si="35">(H34/30/12*7)*8%</f>
        <v>2.8746666666666671</v>
      </c>
    </row>
    <row r="80" spans="1:8">
      <c r="A80" s="39" t="s">
        <v>43</v>
      </c>
      <c r="B80" s="279" t="s">
        <v>84</v>
      </c>
      <c r="C80" s="279"/>
      <c r="D80" s="74">
        <f t="shared" ref="D80:G80" si="36">D34*4%</f>
        <v>68.903999999999996</v>
      </c>
      <c r="E80" s="74">
        <f t="shared" si="36"/>
        <v>91.52</v>
      </c>
      <c r="F80" s="74">
        <f t="shared" si="36"/>
        <v>73.92</v>
      </c>
      <c r="G80" s="74">
        <f t="shared" si="36"/>
        <v>68.903999999999996</v>
      </c>
      <c r="H80" s="190">
        <f t="shared" ref="H80" si="37">H34*4%</f>
        <v>73.92</v>
      </c>
    </row>
    <row r="81" spans="1:8" ht="15.75" thickBot="1">
      <c r="A81" s="48"/>
      <c r="B81" s="285" t="s">
        <v>69</v>
      </c>
      <c r="C81" s="285"/>
      <c r="D81" s="102">
        <f t="shared" ref="D81:G81" si="38">SUM(D75:D80)</f>
        <v>116.10674410999999</v>
      </c>
      <c r="E81" s="102">
        <f t="shared" si="38"/>
        <v>153.63744013333331</v>
      </c>
      <c r="F81" s="102">
        <f t="shared" si="38"/>
        <v>124.43067280000001</v>
      </c>
      <c r="G81" s="102">
        <f t="shared" si="38"/>
        <v>116.10674410999999</v>
      </c>
      <c r="H81" s="187">
        <f t="shared" ref="H81" si="39">SUM(H75:H80)</f>
        <v>124.15845057777778</v>
      </c>
    </row>
    <row r="82" spans="1:8" ht="15.75" thickBot="1">
      <c r="A82" s="12"/>
      <c r="B82" s="12"/>
      <c r="C82" s="12"/>
      <c r="D82" s="12"/>
      <c r="E82" s="13"/>
    </row>
    <row r="83" spans="1:8">
      <c r="A83" s="271" t="s">
        <v>85</v>
      </c>
      <c r="B83" s="272"/>
      <c r="C83" s="272"/>
      <c r="D83" s="34" t="s">
        <v>185</v>
      </c>
      <c r="E83" s="35" t="s">
        <v>186</v>
      </c>
      <c r="F83" s="35" t="s">
        <v>174</v>
      </c>
      <c r="G83" s="35" t="s">
        <v>187</v>
      </c>
      <c r="H83" s="178" t="s">
        <v>188</v>
      </c>
    </row>
    <row r="84" spans="1:8">
      <c r="A84" s="36" t="s">
        <v>86</v>
      </c>
      <c r="B84" s="274" t="s">
        <v>147</v>
      </c>
      <c r="C84" s="274"/>
      <c r="D84" s="58" t="s">
        <v>33</v>
      </c>
      <c r="E84" s="58" t="s">
        <v>33</v>
      </c>
      <c r="F84" s="58" t="s">
        <v>33</v>
      </c>
      <c r="G84" s="58" t="s">
        <v>33</v>
      </c>
      <c r="H84" s="185" t="s">
        <v>33</v>
      </c>
    </row>
    <row r="85" spans="1:8">
      <c r="A85" s="39" t="s">
        <v>34</v>
      </c>
      <c r="B85" s="286" t="s">
        <v>88</v>
      </c>
      <c r="C85" s="286"/>
      <c r="D85" s="74">
        <v>0</v>
      </c>
      <c r="E85" s="74">
        <v>0</v>
      </c>
      <c r="F85" s="74">
        <v>0</v>
      </c>
      <c r="G85" s="74">
        <v>0</v>
      </c>
      <c r="H85" s="190">
        <v>0</v>
      </c>
    </row>
    <row r="86" spans="1:8">
      <c r="A86" s="39" t="s">
        <v>36</v>
      </c>
      <c r="B86" s="286" t="s">
        <v>89</v>
      </c>
      <c r="C86" s="286"/>
      <c r="D86" s="74">
        <f>(((D34+D71+D81+D89+D109)-(D58-D59-D107))/30*2.96)/12</f>
        <v>28.177110442663601</v>
      </c>
      <c r="E86" s="74">
        <f t="shared" ref="E86:H86" si="40">(((E34+E71+E81+E89+E109)-(E58-E59-E107))/30*2.96)/12</f>
        <v>36.231006448893517</v>
      </c>
      <c r="F86" s="74">
        <f t="shared" si="40"/>
        <v>30.324272836416956</v>
      </c>
      <c r="G86" s="74">
        <f t="shared" si="40"/>
        <v>28.518209331552487</v>
      </c>
      <c r="H86" s="190">
        <f t="shared" si="40"/>
        <v>29.912002620367574</v>
      </c>
    </row>
    <row r="87" spans="1:8">
      <c r="A87" s="39" t="s">
        <v>38</v>
      </c>
      <c r="B87" s="286" t="s">
        <v>90</v>
      </c>
      <c r="C87" s="286"/>
      <c r="D87" s="74">
        <f>(((D34+D71+D81+D89+D109)-(D58-D59-D107))/30*5*1.5%)/12</f>
        <v>0.71394705513505741</v>
      </c>
      <c r="E87" s="74">
        <f t="shared" ref="E87:H87" si="41">(((E34+E71+E81+E89+E109)-(E58-E59-E107))/30*5*1.5%)/12</f>
        <v>0.91801536610372081</v>
      </c>
      <c r="F87" s="74">
        <f t="shared" si="41"/>
        <v>0.76835150767948368</v>
      </c>
      <c r="G87" s="74">
        <f t="shared" si="41"/>
        <v>0.72258976346839077</v>
      </c>
      <c r="H87" s="190">
        <f t="shared" si="41"/>
        <v>0.75790547179985401</v>
      </c>
    </row>
    <row r="88" spans="1:8">
      <c r="A88" s="39" t="s">
        <v>39</v>
      </c>
      <c r="B88" s="286" t="s">
        <v>91</v>
      </c>
      <c r="C88" s="286"/>
      <c r="D88" s="74">
        <f>(((D34+D71+D81+D89+D109)-(D58-D59-D107))/30*15*0.78%)/12</f>
        <v>1.1137574060106898</v>
      </c>
      <c r="E88" s="74">
        <f t="shared" ref="E88:H88" si="42">(((E34+E71+E81+E89+E109)-(E58-E59-E107))/30*15*0.78%)/12</f>
        <v>1.4321039711218047</v>
      </c>
      <c r="F88" s="74">
        <f t="shared" si="42"/>
        <v>1.1986283519799947</v>
      </c>
      <c r="G88" s="74">
        <f t="shared" si="42"/>
        <v>1.1272400310106898</v>
      </c>
      <c r="H88" s="190">
        <f t="shared" si="42"/>
        <v>1.1823325360077723</v>
      </c>
    </row>
    <row r="89" spans="1:8">
      <c r="A89" s="39" t="s">
        <v>41</v>
      </c>
      <c r="B89" s="286" t="s">
        <v>92</v>
      </c>
      <c r="C89" s="286"/>
      <c r="D89" s="74">
        <f t="shared" ref="D89:G89" si="43">(((D39*3.95/12)+(D60*3.95*1.02%))/12+((D34+D38)*39.8%*3.95)*1.02%/12)</f>
        <v>8.4113161232653013</v>
      </c>
      <c r="E89" s="74">
        <f t="shared" si="43"/>
        <v>11.106405342108445</v>
      </c>
      <c r="F89" s="74">
        <f t="shared" si="43"/>
        <v>9.0090596465106678</v>
      </c>
      <c r="G89" s="74">
        <f t="shared" si="43"/>
        <v>8.4113161232653013</v>
      </c>
      <c r="H89" s="190">
        <f t="shared" ref="H89" si="44">(((H39*3.95/12)+(H60*3.95*1.02%))/12+((H34+H38)*39.8%*3.95)*1.02%/12)</f>
        <v>9.0090596465106678</v>
      </c>
    </row>
    <row r="90" spans="1:8">
      <c r="A90" s="39" t="s">
        <v>43</v>
      </c>
      <c r="B90" s="286" t="s">
        <v>93</v>
      </c>
      <c r="C90" s="286"/>
      <c r="D90" s="74">
        <v>0</v>
      </c>
      <c r="E90" s="74">
        <v>0</v>
      </c>
      <c r="F90" s="74">
        <v>0</v>
      </c>
      <c r="G90" s="74">
        <v>0</v>
      </c>
      <c r="H90" s="190">
        <v>0</v>
      </c>
    </row>
    <row r="91" spans="1:8" ht="15.75" thickBot="1">
      <c r="A91" s="48"/>
      <c r="B91" s="285" t="s">
        <v>69</v>
      </c>
      <c r="C91" s="285"/>
      <c r="D91" s="102">
        <f t="shared" ref="D91:G91" si="45">SUM(D85:D90)</f>
        <v>38.416131027074655</v>
      </c>
      <c r="E91" s="102">
        <f t="shared" si="45"/>
        <v>49.687531128227491</v>
      </c>
      <c r="F91" s="102">
        <f t="shared" si="45"/>
        <v>41.300312342587105</v>
      </c>
      <c r="G91" s="102">
        <f t="shared" si="45"/>
        <v>38.77935524929687</v>
      </c>
      <c r="H91" s="187">
        <f t="shared" ref="H91" si="46">SUM(H85:H90)</f>
        <v>40.861300274685874</v>
      </c>
    </row>
    <row r="92" spans="1:8" ht="15.75" thickBot="1">
      <c r="A92" s="64"/>
      <c r="B92" s="64"/>
      <c r="C92" s="64"/>
      <c r="D92" s="12"/>
      <c r="E92" s="13"/>
    </row>
    <row r="93" spans="1:8">
      <c r="A93" s="320" t="s">
        <v>94</v>
      </c>
      <c r="B93" s="321"/>
      <c r="C93" s="322"/>
      <c r="D93" s="34" t="s">
        <v>185</v>
      </c>
      <c r="E93" s="35" t="s">
        <v>186</v>
      </c>
      <c r="F93" s="35" t="s">
        <v>174</v>
      </c>
      <c r="G93" s="35" t="s">
        <v>187</v>
      </c>
      <c r="H93" s="178" t="s">
        <v>188</v>
      </c>
    </row>
    <row r="94" spans="1:8">
      <c r="A94" s="198" t="s">
        <v>95</v>
      </c>
      <c r="B94" s="287" t="s">
        <v>96</v>
      </c>
      <c r="C94" s="288"/>
      <c r="D94" s="77" t="s">
        <v>33</v>
      </c>
      <c r="E94" s="77" t="s">
        <v>33</v>
      </c>
      <c r="F94" s="77" t="s">
        <v>33</v>
      </c>
      <c r="G94" s="77" t="s">
        <v>33</v>
      </c>
      <c r="H94" s="199" t="s">
        <v>33</v>
      </c>
    </row>
    <row r="95" spans="1:8">
      <c r="A95" s="200" t="s">
        <v>34</v>
      </c>
      <c r="B95" s="289" t="s">
        <v>97</v>
      </c>
      <c r="C95" s="290"/>
      <c r="D95" s="79">
        <v>0</v>
      </c>
      <c r="E95" s="79">
        <v>0</v>
      </c>
      <c r="F95" s="79">
        <v>0</v>
      </c>
      <c r="G95" s="79">
        <v>0</v>
      </c>
      <c r="H95" s="201">
        <v>0</v>
      </c>
    </row>
    <row r="96" spans="1:8" ht="15.75" thickBot="1">
      <c r="A96" s="202"/>
      <c r="B96" s="318" t="s">
        <v>69</v>
      </c>
      <c r="C96" s="319"/>
      <c r="D96" s="203">
        <v>0</v>
      </c>
      <c r="E96" s="203">
        <v>0</v>
      </c>
      <c r="F96" s="203">
        <v>0</v>
      </c>
      <c r="G96" s="203">
        <v>0</v>
      </c>
      <c r="H96" s="204">
        <v>0</v>
      </c>
    </row>
    <row r="97" spans="1:11" ht="15.75" thickBot="1">
      <c r="A97" s="64"/>
      <c r="B97" s="64"/>
      <c r="C97" s="64"/>
      <c r="D97" s="12"/>
      <c r="E97" s="13"/>
    </row>
    <row r="98" spans="1:11">
      <c r="A98" s="271" t="s">
        <v>98</v>
      </c>
      <c r="B98" s="272"/>
      <c r="C98" s="272"/>
      <c r="D98" s="34" t="s">
        <v>185</v>
      </c>
      <c r="E98" s="35" t="s">
        <v>186</v>
      </c>
      <c r="F98" s="35" t="s">
        <v>174</v>
      </c>
      <c r="G98" s="35" t="s">
        <v>187</v>
      </c>
      <c r="H98" s="178" t="s">
        <v>188</v>
      </c>
    </row>
    <row r="99" spans="1:11">
      <c r="A99" s="103">
        <v>4</v>
      </c>
      <c r="B99" s="250" t="s">
        <v>99</v>
      </c>
      <c r="C99" s="250"/>
      <c r="D99" s="71" t="s">
        <v>50</v>
      </c>
      <c r="E99" s="71" t="s">
        <v>50</v>
      </c>
      <c r="F99" s="71" t="s">
        <v>50</v>
      </c>
      <c r="G99" s="71" t="s">
        <v>50</v>
      </c>
      <c r="H99" s="180" t="s">
        <v>50</v>
      </c>
    </row>
    <row r="100" spans="1:11">
      <c r="A100" s="100" t="s">
        <v>86</v>
      </c>
      <c r="B100" s="251" t="s">
        <v>87</v>
      </c>
      <c r="C100" s="251"/>
      <c r="D100" s="68">
        <f>D91</f>
        <v>38.416131027074655</v>
      </c>
      <c r="E100" s="68">
        <f t="shared" ref="E100:G100" si="47">E91</f>
        <v>49.687531128227491</v>
      </c>
      <c r="F100" s="68">
        <f t="shared" si="47"/>
        <v>41.300312342587105</v>
      </c>
      <c r="G100" s="68">
        <f t="shared" si="47"/>
        <v>38.77935524929687</v>
      </c>
      <c r="H100" s="181">
        <f t="shared" ref="H100" si="48">H91</f>
        <v>40.861300274685874</v>
      </c>
    </row>
    <row r="101" spans="1:11">
      <c r="A101" s="100" t="s">
        <v>95</v>
      </c>
      <c r="B101" s="251" t="s">
        <v>96</v>
      </c>
      <c r="C101" s="251"/>
      <c r="D101" s="68">
        <v>0</v>
      </c>
      <c r="E101" s="68">
        <v>0</v>
      </c>
      <c r="F101" s="68">
        <v>0</v>
      </c>
      <c r="G101" s="68">
        <v>0</v>
      </c>
      <c r="H101" s="181">
        <v>0</v>
      </c>
    </row>
    <row r="102" spans="1:11" ht="15.75" thickBot="1">
      <c r="A102" s="48"/>
      <c r="B102" s="281" t="s">
        <v>53</v>
      </c>
      <c r="C102" s="281"/>
      <c r="D102" s="49">
        <f>SUM(D100:D101)</f>
        <v>38.416131027074655</v>
      </c>
      <c r="E102" s="49">
        <f t="shared" ref="E102:G102" si="49">SUM(E100:E101)</f>
        <v>49.687531128227491</v>
      </c>
      <c r="F102" s="49">
        <f t="shared" si="49"/>
        <v>41.300312342587105</v>
      </c>
      <c r="G102" s="49">
        <f t="shared" si="49"/>
        <v>38.77935524929687</v>
      </c>
      <c r="H102" s="50">
        <f t="shared" ref="H102" si="50">SUM(H100:H101)</f>
        <v>40.861300274685874</v>
      </c>
      <c r="J102" s="82"/>
    </row>
    <row r="103" spans="1:11" ht="15.75" thickBot="1">
      <c r="A103" s="12"/>
      <c r="B103" s="12"/>
      <c r="C103" s="12"/>
      <c r="D103" s="12"/>
      <c r="E103" s="12"/>
      <c r="J103" s="82"/>
    </row>
    <row r="104" spans="1:11">
      <c r="A104" s="271" t="s">
        <v>100</v>
      </c>
      <c r="B104" s="272"/>
      <c r="C104" s="272"/>
      <c r="D104" s="34" t="s">
        <v>185</v>
      </c>
      <c r="E104" s="35" t="s">
        <v>186</v>
      </c>
      <c r="F104" s="35" t="s">
        <v>174</v>
      </c>
      <c r="G104" s="35" t="s">
        <v>187</v>
      </c>
      <c r="H104" s="178" t="s">
        <v>188</v>
      </c>
      <c r="J104" s="82"/>
    </row>
    <row r="105" spans="1:11">
      <c r="A105" s="104">
        <v>5</v>
      </c>
      <c r="B105" s="250" t="s">
        <v>101</v>
      </c>
      <c r="C105" s="250"/>
      <c r="D105" s="37" t="s">
        <v>33</v>
      </c>
      <c r="E105" s="37" t="s">
        <v>33</v>
      </c>
      <c r="F105" s="37" t="s">
        <v>33</v>
      </c>
      <c r="G105" s="37" t="s">
        <v>33</v>
      </c>
      <c r="H105" s="38" t="s">
        <v>33</v>
      </c>
    </row>
    <row r="106" spans="1:11">
      <c r="A106" s="105" t="s">
        <v>34</v>
      </c>
      <c r="B106" s="251" t="s">
        <v>148</v>
      </c>
      <c r="C106" s="251"/>
      <c r="D106" s="84">
        <f>'Anexo III-B Uniformes'!I31</f>
        <v>72.477500000000006</v>
      </c>
      <c r="E106" s="84">
        <f>'Anexo III-B Uniformes'!I45</f>
        <v>61.624907407407413</v>
      </c>
      <c r="F106" s="84">
        <f>'Anexo III-B Uniformes'!I60</f>
        <v>113.96249999999999</v>
      </c>
      <c r="G106" s="84">
        <f>'Anexo III-B Uniformes'!I60</f>
        <v>113.96249999999999</v>
      </c>
      <c r="H106" s="182">
        <f>'Anexo III-B Uniformes'!I81</f>
        <v>78.093750000000014</v>
      </c>
    </row>
    <row r="107" spans="1:11">
      <c r="A107" s="105" t="s">
        <v>36</v>
      </c>
      <c r="B107" s="251" t="s">
        <v>102</v>
      </c>
      <c r="C107" s="251"/>
      <c r="D107" s="86">
        <f>'Anexo III-A Equip.'!F12</f>
        <v>0.31633554083885207</v>
      </c>
      <c r="E107" s="86">
        <f>'Anexo III-A Equip.'!F12</f>
        <v>0.31633554083885207</v>
      </c>
      <c r="F107" s="86">
        <f>'Anexo III-A Equip.'!F12</f>
        <v>0.31633554083885207</v>
      </c>
      <c r="G107" s="86">
        <f>'Anexo III-A Equip.'!F12</f>
        <v>0.31633554083885207</v>
      </c>
      <c r="H107" s="183">
        <f>'Anexo III-A Equip.'!F12</f>
        <v>0.31633554083885207</v>
      </c>
      <c r="I107" s="85"/>
      <c r="J107" s="85"/>
      <c r="K107" s="85"/>
    </row>
    <row r="108" spans="1:11">
      <c r="A108" s="105" t="s">
        <v>38</v>
      </c>
      <c r="B108" s="251" t="s">
        <v>44</v>
      </c>
      <c r="C108" s="251"/>
      <c r="D108" s="86"/>
      <c r="E108" s="86"/>
      <c r="F108" s="86"/>
      <c r="G108" s="86"/>
      <c r="H108" s="183"/>
      <c r="I108" s="85"/>
      <c r="J108" s="85"/>
      <c r="K108" s="85"/>
    </row>
    <row r="109" spans="1:11" ht="15.75" thickBot="1">
      <c r="A109" s="106"/>
      <c r="B109" s="281" t="s">
        <v>103</v>
      </c>
      <c r="C109" s="281"/>
      <c r="D109" s="107">
        <f>SUM(D106:D108)</f>
        <v>72.793835540838856</v>
      </c>
      <c r="E109" s="107">
        <f>SUM(E106:E108)</f>
        <v>61.941242948246263</v>
      </c>
      <c r="F109" s="107">
        <f>SUM(F106:F108)</f>
        <v>114.27883554083884</v>
      </c>
      <c r="G109" s="107">
        <f>SUM(G106:G108)</f>
        <v>114.27883554083884</v>
      </c>
      <c r="H109" s="184">
        <f>SUM(H106:H108)</f>
        <v>78.410085540838864</v>
      </c>
    </row>
    <row r="110" spans="1:11" ht="15.75" thickBot="1">
      <c r="A110" s="14"/>
      <c r="B110" s="87"/>
      <c r="C110" s="88"/>
      <c r="D110" s="88"/>
      <c r="E110" s="12"/>
    </row>
    <row r="111" spans="1:11" ht="27.75" customHeight="1">
      <c r="A111" s="271" t="s">
        <v>104</v>
      </c>
      <c r="B111" s="272"/>
      <c r="C111" s="34"/>
      <c r="D111" s="34" t="s">
        <v>185</v>
      </c>
      <c r="E111" s="35" t="s">
        <v>186</v>
      </c>
      <c r="F111" s="35" t="s">
        <v>174</v>
      </c>
      <c r="G111" s="35" t="s">
        <v>187</v>
      </c>
      <c r="H111" s="178" t="s">
        <v>188</v>
      </c>
    </row>
    <row r="112" spans="1:11">
      <c r="A112" s="104">
        <v>6</v>
      </c>
      <c r="B112" s="56" t="s">
        <v>105</v>
      </c>
      <c r="C112" s="57" t="s">
        <v>58</v>
      </c>
      <c r="D112" s="58" t="s">
        <v>33</v>
      </c>
      <c r="E112" s="58" t="s">
        <v>33</v>
      </c>
      <c r="F112" s="58" t="s">
        <v>33</v>
      </c>
      <c r="G112" s="58" t="s">
        <v>33</v>
      </c>
      <c r="H112" s="185" t="s">
        <v>33</v>
      </c>
    </row>
    <row r="113" spans="1:8">
      <c r="A113" s="105" t="s">
        <v>34</v>
      </c>
      <c r="B113" s="59" t="s">
        <v>106</v>
      </c>
      <c r="C113" s="52">
        <v>4.8</v>
      </c>
      <c r="D113" s="54">
        <f>(D130)*$C$113/100</f>
        <v>178.79723251253981</v>
      </c>
      <c r="E113" s="54">
        <f t="shared" ref="E113:G113" si="51">(E130)*$C$113/100</f>
        <v>224.59788228207071</v>
      </c>
      <c r="F113" s="54">
        <f t="shared" si="51"/>
        <v>191.08061539280448</v>
      </c>
      <c r="G113" s="54">
        <f t="shared" si="51"/>
        <v>180.80594727520648</v>
      </c>
      <c r="H113" s="186">
        <f t="shared" ref="H113" si="52">(H130)*$C$113/100</f>
        <v>188.65277614687852</v>
      </c>
    </row>
    <row r="114" spans="1:8">
      <c r="A114" s="105" t="s">
        <v>36</v>
      </c>
      <c r="B114" s="59" t="s">
        <v>107</v>
      </c>
      <c r="C114" s="52">
        <v>3.92</v>
      </c>
      <c r="D114" s="54">
        <f>(D130+D113)*$C$114/100</f>
        <v>153.02659139973241</v>
      </c>
      <c r="E114" s="54">
        <f t="shared" ref="E114:G114" si="53">(E130+E113)*$C$114/100</f>
        <v>192.22584084914826</v>
      </c>
      <c r="F114" s="54">
        <f t="shared" si="53"/>
        <v>163.53952936085491</v>
      </c>
      <c r="G114" s="54">
        <f t="shared" si="53"/>
        <v>154.74578340794005</v>
      </c>
      <c r="H114" s="186">
        <f t="shared" ref="H114" si="54">(H130+H113)*$C$114/100</f>
        <v>161.46162267824175</v>
      </c>
    </row>
    <row r="115" spans="1:8">
      <c r="A115" s="105" t="s">
        <v>38</v>
      </c>
      <c r="B115" s="59" t="s">
        <v>108</v>
      </c>
      <c r="C115" s="52"/>
      <c r="D115" s="54"/>
      <c r="E115" s="54"/>
      <c r="F115" s="54"/>
      <c r="G115" s="54"/>
      <c r="H115" s="186"/>
    </row>
    <row r="116" spans="1:8">
      <c r="A116" s="105"/>
      <c r="B116" s="59" t="s">
        <v>109</v>
      </c>
      <c r="C116" s="52">
        <f>3+0.65</f>
        <v>3.65</v>
      </c>
      <c r="D116" s="54">
        <f>((D130+D113+D114)/(1-($C$116+$C$118)/100))*$C$116/100</f>
        <v>162.09301054100538</v>
      </c>
      <c r="E116" s="54">
        <f t="shared" ref="E116:G116" si="55">((E130+E113+E114)/(1-($C$116+$C$118)/100))*$C$116/100</f>
        <v>203.6147114172021</v>
      </c>
      <c r="F116" s="54">
        <f t="shared" si="55"/>
        <v>173.22881215667246</v>
      </c>
      <c r="G116" s="54">
        <f t="shared" si="55"/>
        <v>163.91406010996877</v>
      </c>
      <c r="H116" s="186">
        <f t="shared" ref="H116" si="56">((H130+H113+H114)/(1-($C$116+$C$118)/100))*$C$116/100</f>
        <v>171.02779502149875</v>
      </c>
    </row>
    <row r="117" spans="1:8">
      <c r="A117" s="105"/>
      <c r="B117" s="59" t="s">
        <v>110</v>
      </c>
      <c r="C117" s="52"/>
      <c r="D117" s="54"/>
      <c r="E117" s="54"/>
      <c r="F117" s="54"/>
      <c r="G117" s="54"/>
      <c r="H117" s="186"/>
    </row>
    <row r="118" spans="1:8">
      <c r="A118" s="105"/>
      <c r="B118" s="59" t="s">
        <v>111</v>
      </c>
      <c r="C118" s="83">
        <v>5</v>
      </c>
      <c r="D118" s="54">
        <f>((D130+D113+D114)/(1-($C$116+$C$118)/100))*$C$118/100</f>
        <v>222.04521991918548</v>
      </c>
      <c r="E118" s="54">
        <f t="shared" ref="E118:G118" si="57">((E130+E113+E114)/(1-($C$116+$C$118)/100))*$C$118/100</f>
        <v>278.92426221534532</v>
      </c>
      <c r="F118" s="54">
        <f t="shared" si="57"/>
        <v>237.29974268037327</v>
      </c>
      <c r="G118" s="54">
        <f t="shared" si="57"/>
        <v>224.53980836982024</v>
      </c>
      <c r="H118" s="186">
        <f t="shared" ref="H118" si="58">((H130+H113+H114)/(1-($C$116+$C$118)/100))*$C$118/100</f>
        <v>234.28465071438185</v>
      </c>
    </row>
    <row r="119" spans="1:8">
      <c r="A119" s="105"/>
      <c r="B119" s="59" t="s">
        <v>112</v>
      </c>
      <c r="C119" s="52"/>
      <c r="D119" s="54"/>
      <c r="E119" s="54"/>
      <c r="F119" s="44"/>
      <c r="G119" s="44"/>
      <c r="H119" s="45"/>
    </row>
    <row r="120" spans="1:8" ht="15.75" thickBot="1">
      <c r="A120" s="108"/>
      <c r="B120" s="109" t="s">
        <v>69</v>
      </c>
      <c r="C120" s="94">
        <f>SUM(C113:C119)</f>
        <v>17.369999999999997</v>
      </c>
      <c r="D120" s="102">
        <f>SUM(D113:D119)</f>
        <v>715.96205437246306</v>
      </c>
      <c r="E120" s="102">
        <f>SUM(E113:E119)</f>
        <v>899.36269676376651</v>
      </c>
      <c r="F120" s="102">
        <f t="shared" ref="F120:G120" si="59">SUM(F113:F119)</f>
        <v>765.14869959070506</v>
      </c>
      <c r="G120" s="102">
        <f t="shared" si="59"/>
        <v>724.00559916293548</v>
      </c>
      <c r="H120" s="187">
        <f t="shared" ref="H120" si="60">SUM(H113:H119)</f>
        <v>755.42684456100085</v>
      </c>
    </row>
    <row r="121" spans="1:8">
      <c r="A121" s="14"/>
      <c r="B121" s="87"/>
      <c r="C121" s="88"/>
      <c r="D121" s="88"/>
      <c r="E121" s="12"/>
    </row>
    <row r="122" spans="1:8" ht="15.75" thickBot="1">
      <c r="A122" s="298" t="s">
        <v>149</v>
      </c>
      <c r="B122" s="298"/>
      <c r="C122" s="298"/>
      <c r="D122" s="298"/>
      <c r="E122" s="298"/>
      <c r="F122" s="298"/>
      <c r="G122" s="298"/>
      <c r="H122" s="298"/>
    </row>
    <row r="123" spans="1:8" ht="33.75" customHeight="1">
      <c r="A123" s="296" t="s">
        <v>150</v>
      </c>
      <c r="B123" s="297"/>
      <c r="C123" s="297"/>
      <c r="D123" s="34" t="s">
        <v>185</v>
      </c>
      <c r="E123" s="35" t="s">
        <v>186</v>
      </c>
      <c r="F123" s="35" t="s">
        <v>174</v>
      </c>
      <c r="G123" s="35" t="s">
        <v>187</v>
      </c>
      <c r="H123" s="178" t="s">
        <v>188</v>
      </c>
    </row>
    <row r="124" spans="1:8">
      <c r="A124" s="110"/>
      <c r="B124" s="274" t="s">
        <v>113</v>
      </c>
      <c r="C124" s="274"/>
      <c r="D124" s="58" t="s">
        <v>33</v>
      </c>
      <c r="E124" s="58" t="s">
        <v>33</v>
      </c>
      <c r="F124" s="58" t="s">
        <v>33</v>
      </c>
      <c r="G124" s="58" t="s">
        <v>33</v>
      </c>
      <c r="H124" s="185" t="s">
        <v>33</v>
      </c>
    </row>
    <row r="125" spans="1:8">
      <c r="A125" s="39" t="s">
        <v>34</v>
      </c>
      <c r="B125" s="279" t="s">
        <v>114</v>
      </c>
      <c r="C125" s="279"/>
      <c r="D125" s="54">
        <f>D34</f>
        <v>1722.6</v>
      </c>
      <c r="E125" s="54">
        <f>E34</f>
        <v>2288</v>
      </c>
      <c r="F125" s="54">
        <f>F34</f>
        <v>1848</v>
      </c>
      <c r="G125" s="54">
        <f>G34</f>
        <v>1722.6</v>
      </c>
      <c r="H125" s="186">
        <f>H34</f>
        <v>1848</v>
      </c>
    </row>
    <row r="126" spans="1:8">
      <c r="A126" s="39" t="s">
        <v>36</v>
      </c>
      <c r="B126" s="279" t="s">
        <v>115</v>
      </c>
      <c r="C126" s="279"/>
      <c r="D126" s="54">
        <f>D71</f>
        <v>1775.0256333333332</v>
      </c>
      <c r="E126" s="54">
        <f>E71</f>
        <v>2125.8563333333332</v>
      </c>
      <c r="F126" s="54">
        <f>F71</f>
        <v>1852.8363333333334</v>
      </c>
      <c r="G126" s="54">
        <f>G71</f>
        <v>1775.0256333333332</v>
      </c>
      <c r="H126" s="186">
        <f>H71</f>
        <v>1838.8363333333334</v>
      </c>
    </row>
    <row r="127" spans="1:8">
      <c r="A127" s="39" t="s">
        <v>38</v>
      </c>
      <c r="B127" s="279" t="s">
        <v>116</v>
      </c>
      <c r="C127" s="279"/>
      <c r="D127" s="54">
        <f>D81</f>
        <v>116.10674410999999</v>
      </c>
      <c r="E127" s="54">
        <f>E81</f>
        <v>153.63744013333331</v>
      </c>
      <c r="F127" s="54">
        <f>F81</f>
        <v>124.43067280000001</v>
      </c>
      <c r="G127" s="54">
        <f>G81</f>
        <v>116.10674410999999</v>
      </c>
      <c r="H127" s="186">
        <f>H81</f>
        <v>124.15845057777778</v>
      </c>
    </row>
    <row r="128" spans="1:8">
      <c r="A128" s="39" t="s">
        <v>39</v>
      </c>
      <c r="B128" s="279" t="s">
        <v>117</v>
      </c>
      <c r="C128" s="279"/>
      <c r="D128" s="54">
        <f>D102</f>
        <v>38.416131027074655</v>
      </c>
      <c r="E128" s="54">
        <f>E102</f>
        <v>49.687531128227491</v>
      </c>
      <c r="F128" s="54">
        <f>F102</f>
        <v>41.300312342587105</v>
      </c>
      <c r="G128" s="54">
        <f>G102</f>
        <v>38.77935524929687</v>
      </c>
      <c r="H128" s="186">
        <f>H102</f>
        <v>40.861300274685874</v>
      </c>
    </row>
    <row r="129" spans="1:8">
      <c r="A129" s="39" t="s">
        <v>41</v>
      </c>
      <c r="B129" s="279" t="s">
        <v>118</v>
      </c>
      <c r="C129" s="279"/>
      <c r="D129" s="54">
        <f>D109</f>
        <v>72.793835540838856</v>
      </c>
      <c r="E129" s="54">
        <f t="shared" ref="E129:G129" si="61">E109</f>
        <v>61.941242948246263</v>
      </c>
      <c r="F129" s="54">
        <f t="shared" si="61"/>
        <v>114.27883554083884</v>
      </c>
      <c r="G129" s="54">
        <f t="shared" si="61"/>
        <v>114.27883554083884</v>
      </c>
      <c r="H129" s="186">
        <f t="shared" ref="H129" si="62">H109</f>
        <v>78.410085540838864</v>
      </c>
    </row>
    <row r="130" spans="1:8">
      <c r="A130" s="39"/>
      <c r="B130" s="274" t="s">
        <v>119</v>
      </c>
      <c r="C130" s="274"/>
      <c r="D130" s="55">
        <f>SUM(D125:D129)</f>
        <v>3724.9423440112464</v>
      </c>
      <c r="E130" s="55">
        <f t="shared" ref="E130:G130" si="63">SUM(E125:E129)</f>
        <v>4679.1225475431402</v>
      </c>
      <c r="F130" s="55">
        <f t="shared" si="63"/>
        <v>3980.8461540167596</v>
      </c>
      <c r="G130" s="55">
        <f t="shared" si="63"/>
        <v>3766.7905682334685</v>
      </c>
      <c r="H130" s="188">
        <f t="shared" ref="H130" si="64">SUM(H125:H129)</f>
        <v>3930.2661697266362</v>
      </c>
    </row>
    <row r="131" spans="1:8">
      <c r="A131" s="39" t="s">
        <v>43</v>
      </c>
      <c r="B131" s="279" t="s">
        <v>120</v>
      </c>
      <c r="C131" s="279"/>
      <c r="D131" s="54">
        <f>D120</f>
        <v>715.96205437246306</v>
      </c>
      <c r="E131" s="54">
        <f t="shared" ref="E131:G131" si="65">E120</f>
        <v>899.36269676376651</v>
      </c>
      <c r="F131" s="54">
        <f t="shared" si="65"/>
        <v>765.14869959070506</v>
      </c>
      <c r="G131" s="54">
        <f t="shared" si="65"/>
        <v>724.00559916293548</v>
      </c>
      <c r="H131" s="186">
        <f t="shared" ref="H131" si="66">H120</f>
        <v>755.42684456100085</v>
      </c>
    </row>
    <row r="132" spans="1:8">
      <c r="A132" s="110"/>
      <c r="B132" s="274" t="s">
        <v>121</v>
      </c>
      <c r="C132" s="274"/>
      <c r="D132" s="55">
        <f>SUM(D130:D131)</f>
        <v>4440.9043983837091</v>
      </c>
      <c r="E132" s="55">
        <f t="shared" ref="E132:G132" si="67">SUM(E130:E131)</f>
        <v>5578.4852443069067</v>
      </c>
      <c r="F132" s="55">
        <f t="shared" si="67"/>
        <v>4745.9948536074644</v>
      </c>
      <c r="G132" s="55">
        <f t="shared" si="67"/>
        <v>4490.7961673964037</v>
      </c>
      <c r="H132" s="188">
        <f t="shared" ref="H132" si="68">SUM(H130:H131)</f>
        <v>4685.6930142876372</v>
      </c>
    </row>
    <row r="133" spans="1:8" ht="15.75" thickBot="1">
      <c r="A133" s="48"/>
      <c r="B133" s="285" t="s">
        <v>122</v>
      </c>
      <c r="C133" s="285"/>
      <c r="D133" s="111">
        <f>D132/D34</f>
        <v>2.5780241486031055</v>
      </c>
      <c r="E133" s="111">
        <f>E132/E34</f>
        <v>2.4381491452390325</v>
      </c>
      <c r="F133" s="111">
        <f>F132/F34</f>
        <v>2.5681790333373726</v>
      </c>
      <c r="G133" s="111">
        <f>G132/G34</f>
        <v>2.6069872096809497</v>
      </c>
      <c r="H133" s="189">
        <f>H132/H34</f>
        <v>2.5355481679045657</v>
      </c>
    </row>
    <row r="134" spans="1:8">
      <c r="A134" s="12"/>
      <c r="B134" s="89"/>
      <c r="C134" s="12"/>
      <c r="D134" s="12"/>
      <c r="E134" s="12"/>
    </row>
    <row r="135" spans="1:8" ht="15.75" thickBot="1">
      <c r="A135" s="12"/>
      <c r="B135" s="12"/>
      <c r="C135" s="12"/>
      <c r="D135" s="12"/>
      <c r="E135" s="12"/>
    </row>
    <row r="136" spans="1:8" ht="37.5" customHeight="1">
      <c r="A136" s="271" t="s">
        <v>123</v>
      </c>
      <c r="B136" s="272"/>
      <c r="C136" s="34"/>
      <c r="D136" s="34" t="s">
        <v>185</v>
      </c>
      <c r="E136" s="35" t="s">
        <v>186</v>
      </c>
      <c r="F136" s="35" t="s">
        <v>174</v>
      </c>
      <c r="G136" s="35" t="s">
        <v>187</v>
      </c>
      <c r="H136" s="178" t="s">
        <v>188</v>
      </c>
    </row>
    <row r="137" spans="1:8">
      <c r="A137" s="104">
        <v>6</v>
      </c>
      <c r="B137" s="56" t="s">
        <v>105</v>
      </c>
      <c r="C137" s="57" t="s">
        <v>58</v>
      </c>
      <c r="D137" s="58" t="s">
        <v>33</v>
      </c>
      <c r="E137" s="58" t="s">
        <v>33</v>
      </c>
      <c r="F137" s="58" t="s">
        <v>33</v>
      </c>
      <c r="G137" s="58" t="s">
        <v>33</v>
      </c>
      <c r="H137" s="185" t="s">
        <v>33</v>
      </c>
    </row>
    <row r="138" spans="1:8">
      <c r="A138" s="105" t="s">
        <v>34</v>
      </c>
      <c r="B138" s="59" t="s">
        <v>106</v>
      </c>
      <c r="C138" s="52">
        <v>4.8</v>
      </c>
      <c r="D138" s="54">
        <f>(D155)*$C$138/100</f>
        <v>178.79723251253981</v>
      </c>
      <c r="E138" s="54">
        <f t="shared" ref="E138:G138" si="69">(E155)*$C$138/100</f>
        <v>224.59788228207071</v>
      </c>
      <c r="F138" s="54">
        <f t="shared" si="69"/>
        <v>191.08061539280448</v>
      </c>
      <c r="G138" s="54">
        <f t="shared" si="69"/>
        <v>180.80594727520648</v>
      </c>
      <c r="H138" s="186">
        <f t="shared" ref="H138" si="70">(H155)*$C$138/100</f>
        <v>188.65277614687852</v>
      </c>
    </row>
    <row r="139" spans="1:8">
      <c r="A139" s="105" t="s">
        <v>36</v>
      </c>
      <c r="B139" s="59" t="s">
        <v>107</v>
      </c>
      <c r="C139" s="52">
        <v>3.92</v>
      </c>
      <c r="D139" s="54">
        <f>(D155+D138)*$C$139/100</f>
        <v>153.02659139973241</v>
      </c>
      <c r="E139" s="54">
        <f t="shared" ref="E139:G139" si="71">(E155+E138)*$C$139/100</f>
        <v>192.22584084914826</v>
      </c>
      <c r="F139" s="54">
        <f t="shared" si="71"/>
        <v>163.53952936085491</v>
      </c>
      <c r="G139" s="54">
        <f t="shared" si="71"/>
        <v>154.74578340794005</v>
      </c>
      <c r="H139" s="186">
        <f t="shared" ref="H139" si="72">(H155+H138)*$C$139/100</f>
        <v>161.46162267824175</v>
      </c>
    </row>
    <row r="140" spans="1:8">
      <c r="A140" s="105" t="s">
        <v>38</v>
      </c>
      <c r="B140" s="59" t="s">
        <v>108</v>
      </c>
      <c r="C140" s="52"/>
      <c r="D140" s="54"/>
      <c r="E140" s="54"/>
      <c r="F140" s="54"/>
      <c r="G140" s="54"/>
      <c r="H140" s="186"/>
    </row>
    <row r="141" spans="1:8">
      <c r="A141" s="105"/>
      <c r="B141" s="59" t="s">
        <v>124</v>
      </c>
      <c r="C141" s="60">
        <v>9.25</v>
      </c>
      <c r="D141" s="54">
        <f>((D155+D138+D139)/(1-($C$141+$C$143)/100))*$C$141/100</f>
        <v>437.61034464481099</v>
      </c>
      <c r="E141" s="54">
        <f t="shared" ref="E141:G141" si="73">((E155+E138+E139)/(1-($C$141+$C$143)/100))*$C$141/100</f>
        <v>549.70848983950805</v>
      </c>
      <c r="F141" s="54">
        <f t="shared" si="73"/>
        <v>467.67420715599275</v>
      </c>
      <c r="G141" s="54">
        <f t="shared" si="73"/>
        <v>442.52672029129667</v>
      </c>
      <c r="H141" s="186">
        <f t="shared" ref="H141" si="74">((H155+H138+H139)/(1-($C$141+$C$143)/100))*$C$141/100</f>
        <v>461.73201468342558</v>
      </c>
    </row>
    <row r="142" spans="1:8">
      <c r="A142" s="105"/>
      <c r="B142" s="59" t="s">
        <v>110</v>
      </c>
      <c r="C142" s="52"/>
      <c r="D142" s="54"/>
      <c r="E142" s="54"/>
      <c r="F142" s="54"/>
      <c r="G142" s="54"/>
      <c r="H142" s="186"/>
    </row>
    <row r="143" spans="1:8">
      <c r="A143" s="105"/>
      <c r="B143" s="59" t="s">
        <v>111</v>
      </c>
      <c r="C143" s="83">
        <v>5</v>
      </c>
      <c r="D143" s="54">
        <f>((D155+D138+D139)/(1-($C$141+$C$143)/100))*$C$143/100</f>
        <v>236.5461322404384</v>
      </c>
      <c r="E143" s="54">
        <f t="shared" ref="E143:G143" si="75">((E155+E138+E139)/(1-($C$141+$C$143)/100))*$C$143/100</f>
        <v>297.1397242375719</v>
      </c>
      <c r="F143" s="54">
        <f t="shared" si="75"/>
        <v>252.79686873296905</v>
      </c>
      <c r="G143" s="54">
        <f t="shared" si="75"/>
        <v>239.20363258989011</v>
      </c>
      <c r="H143" s="186">
        <f t="shared" ref="H143" si="76">((H155+H138+H139)/(1-($C$141+$C$143)/100))*$C$143/100</f>
        <v>249.58487280185167</v>
      </c>
    </row>
    <row r="144" spans="1:8">
      <c r="A144" s="105"/>
      <c r="B144" s="59" t="s">
        <v>112</v>
      </c>
      <c r="C144" s="52"/>
      <c r="D144" s="54"/>
      <c r="E144" s="54"/>
      <c r="F144" s="54"/>
      <c r="G144" s="54"/>
      <c r="H144" s="186"/>
    </row>
    <row r="145" spans="1:8" ht="15.75" thickBot="1">
      <c r="A145" s="108"/>
      <c r="B145" s="109" t="s">
        <v>69</v>
      </c>
      <c r="C145" s="94">
        <f>SUM(C138:C144)</f>
        <v>22.97</v>
      </c>
      <c r="D145" s="102">
        <f>SUM(D138:D144)</f>
        <v>1005.9803007975216</v>
      </c>
      <c r="E145" s="102">
        <f t="shared" ref="E145:G145" si="77">SUM(E138:E144)</f>
        <v>1263.6719372082989</v>
      </c>
      <c r="F145" s="102">
        <f t="shared" si="77"/>
        <v>1075.091220642621</v>
      </c>
      <c r="G145" s="102">
        <f t="shared" si="77"/>
        <v>1017.2820835643333</v>
      </c>
      <c r="H145" s="187">
        <f t="shared" ref="H145" si="78">SUM(H138:H144)</f>
        <v>1061.4312863103974</v>
      </c>
    </row>
    <row r="146" spans="1:8">
      <c r="A146" s="64"/>
      <c r="B146" s="64"/>
      <c r="C146" s="64"/>
      <c r="D146" s="64"/>
      <c r="E146" s="12"/>
    </row>
    <row r="147" spans="1:8" ht="15.75" thickBot="1">
      <c r="A147" s="298" t="s">
        <v>151</v>
      </c>
      <c r="B147" s="298"/>
      <c r="C147" s="298"/>
      <c r="D147" s="298"/>
      <c r="E147" s="298"/>
      <c r="F147" s="298"/>
      <c r="G147" s="298"/>
      <c r="H147" s="298"/>
    </row>
    <row r="148" spans="1:8" ht="30" customHeight="1">
      <c r="A148" s="299" t="s">
        <v>152</v>
      </c>
      <c r="B148" s="300"/>
      <c r="C148" s="300"/>
      <c r="D148" s="34" t="s">
        <v>185</v>
      </c>
      <c r="E148" s="35" t="s">
        <v>186</v>
      </c>
      <c r="F148" s="35" t="s">
        <v>174</v>
      </c>
      <c r="G148" s="35" t="s">
        <v>187</v>
      </c>
      <c r="H148" s="178" t="s">
        <v>188</v>
      </c>
    </row>
    <row r="149" spans="1:8">
      <c r="A149" s="110"/>
      <c r="B149" s="274" t="s">
        <v>113</v>
      </c>
      <c r="C149" s="274"/>
      <c r="D149" s="58" t="s">
        <v>33</v>
      </c>
      <c r="E149" s="58" t="s">
        <v>33</v>
      </c>
      <c r="F149" s="58" t="s">
        <v>33</v>
      </c>
      <c r="G149" s="58" t="s">
        <v>33</v>
      </c>
      <c r="H149" s="185" t="s">
        <v>33</v>
      </c>
    </row>
    <row r="150" spans="1:8">
      <c r="A150" s="39" t="s">
        <v>34</v>
      </c>
      <c r="B150" s="279" t="s">
        <v>114</v>
      </c>
      <c r="C150" s="279"/>
      <c r="D150" s="54">
        <f t="shared" ref="D150:H154" si="79">D125</f>
        <v>1722.6</v>
      </c>
      <c r="E150" s="54">
        <f t="shared" si="79"/>
        <v>2288</v>
      </c>
      <c r="F150" s="54">
        <f t="shared" si="79"/>
        <v>1848</v>
      </c>
      <c r="G150" s="54">
        <f t="shared" si="79"/>
        <v>1722.6</v>
      </c>
      <c r="H150" s="186">
        <f t="shared" si="79"/>
        <v>1848</v>
      </c>
    </row>
    <row r="151" spans="1:8">
      <c r="A151" s="39" t="s">
        <v>36</v>
      </c>
      <c r="B151" s="279" t="s">
        <v>115</v>
      </c>
      <c r="C151" s="279"/>
      <c r="D151" s="54">
        <f t="shared" si="79"/>
        <v>1775.0256333333332</v>
      </c>
      <c r="E151" s="54">
        <f t="shared" si="79"/>
        <v>2125.8563333333332</v>
      </c>
      <c r="F151" s="54">
        <f t="shared" si="79"/>
        <v>1852.8363333333334</v>
      </c>
      <c r="G151" s="54">
        <f t="shared" si="79"/>
        <v>1775.0256333333332</v>
      </c>
      <c r="H151" s="186">
        <f t="shared" si="79"/>
        <v>1838.8363333333334</v>
      </c>
    </row>
    <row r="152" spans="1:8">
      <c r="A152" s="39" t="s">
        <v>38</v>
      </c>
      <c r="B152" s="279" t="s">
        <v>116</v>
      </c>
      <c r="C152" s="279"/>
      <c r="D152" s="54">
        <f t="shared" si="79"/>
        <v>116.10674410999999</v>
      </c>
      <c r="E152" s="54">
        <f t="shared" si="79"/>
        <v>153.63744013333331</v>
      </c>
      <c r="F152" s="54">
        <f t="shared" si="79"/>
        <v>124.43067280000001</v>
      </c>
      <c r="G152" s="54">
        <f t="shared" si="79"/>
        <v>116.10674410999999</v>
      </c>
      <c r="H152" s="186">
        <f t="shared" si="79"/>
        <v>124.15845057777778</v>
      </c>
    </row>
    <row r="153" spans="1:8">
      <c r="A153" s="39" t="s">
        <v>39</v>
      </c>
      <c r="B153" s="279" t="s">
        <v>117</v>
      </c>
      <c r="C153" s="279"/>
      <c r="D153" s="54">
        <f t="shared" si="79"/>
        <v>38.416131027074655</v>
      </c>
      <c r="E153" s="54">
        <f t="shared" si="79"/>
        <v>49.687531128227491</v>
      </c>
      <c r="F153" s="54">
        <f t="shared" si="79"/>
        <v>41.300312342587105</v>
      </c>
      <c r="G153" s="54">
        <f t="shared" si="79"/>
        <v>38.77935524929687</v>
      </c>
      <c r="H153" s="186">
        <f t="shared" si="79"/>
        <v>40.861300274685874</v>
      </c>
    </row>
    <row r="154" spans="1:8">
      <c r="A154" s="39" t="s">
        <v>41</v>
      </c>
      <c r="B154" s="279" t="s">
        <v>118</v>
      </c>
      <c r="C154" s="279"/>
      <c r="D154" s="54">
        <f t="shared" si="79"/>
        <v>72.793835540838856</v>
      </c>
      <c r="E154" s="54">
        <f t="shared" si="79"/>
        <v>61.941242948246263</v>
      </c>
      <c r="F154" s="54">
        <f t="shared" si="79"/>
        <v>114.27883554083884</v>
      </c>
      <c r="G154" s="54">
        <f t="shared" si="79"/>
        <v>114.27883554083884</v>
      </c>
      <c r="H154" s="186">
        <f t="shared" si="79"/>
        <v>78.410085540838864</v>
      </c>
    </row>
    <row r="155" spans="1:8">
      <c r="A155" s="39"/>
      <c r="B155" s="274" t="s">
        <v>119</v>
      </c>
      <c r="C155" s="274"/>
      <c r="D155" s="55">
        <f>SUM(D150:D154)</f>
        <v>3724.9423440112464</v>
      </c>
      <c r="E155" s="55">
        <f t="shared" ref="E155:G155" si="80">SUM(E150:E154)</f>
        <v>4679.1225475431402</v>
      </c>
      <c r="F155" s="55">
        <f t="shared" si="80"/>
        <v>3980.8461540167596</v>
      </c>
      <c r="G155" s="55">
        <f t="shared" si="80"/>
        <v>3766.7905682334685</v>
      </c>
      <c r="H155" s="188">
        <f t="shared" ref="H155" si="81">SUM(H150:H154)</f>
        <v>3930.2661697266362</v>
      </c>
    </row>
    <row r="156" spans="1:8">
      <c r="A156" s="39" t="s">
        <v>43</v>
      </c>
      <c r="B156" s="279" t="s">
        <v>120</v>
      </c>
      <c r="C156" s="279"/>
      <c r="D156" s="54">
        <f>D145</f>
        <v>1005.9803007975216</v>
      </c>
      <c r="E156" s="54">
        <f t="shared" ref="E156:G156" si="82">E145</f>
        <v>1263.6719372082989</v>
      </c>
      <c r="F156" s="54">
        <f t="shared" si="82"/>
        <v>1075.091220642621</v>
      </c>
      <c r="G156" s="54">
        <f t="shared" si="82"/>
        <v>1017.2820835643333</v>
      </c>
      <c r="H156" s="186">
        <f t="shared" ref="H156" si="83">H145</f>
        <v>1061.4312863103974</v>
      </c>
    </row>
    <row r="157" spans="1:8">
      <c r="A157" s="110"/>
      <c r="B157" s="274" t="s">
        <v>121</v>
      </c>
      <c r="C157" s="274"/>
      <c r="D157" s="55">
        <f>SUM(D155:D156)</f>
        <v>4730.9226448087684</v>
      </c>
      <c r="E157" s="55">
        <f t="shared" ref="E157:G157" si="84">SUM(E155:E156)</f>
        <v>5942.7944847514391</v>
      </c>
      <c r="F157" s="55">
        <f t="shared" si="84"/>
        <v>5055.937374659381</v>
      </c>
      <c r="G157" s="55">
        <f t="shared" si="84"/>
        <v>4784.0726517978019</v>
      </c>
      <c r="H157" s="188">
        <f t="shared" ref="H157" si="85">SUM(H155:H156)</f>
        <v>4991.6974560370336</v>
      </c>
    </row>
    <row r="158" spans="1:8" ht="15.75" thickBot="1">
      <c r="A158" s="48"/>
      <c r="B158" s="285" t="s">
        <v>122</v>
      </c>
      <c r="C158" s="285"/>
      <c r="D158" s="111">
        <f>D157/D34</f>
        <v>2.7463849093282064</v>
      </c>
      <c r="E158" s="111">
        <f>E157/E34</f>
        <v>2.5973752118668876</v>
      </c>
      <c r="F158" s="111">
        <f>F157/F34</f>
        <v>2.7358968477594052</v>
      </c>
      <c r="G158" s="111">
        <f>G157/G34</f>
        <v>2.7772394356192978</v>
      </c>
      <c r="H158" s="189">
        <f>H157/H34</f>
        <v>2.701134987033027</v>
      </c>
    </row>
  </sheetData>
  <mergeCells count="109">
    <mergeCell ref="A147:H147"/>
    <mergeCell ref="B158:C158"/>
    <mergeCell ref="B153:C153"/>
    <mergeCell ref="B154:C154"/>
    <mergeCell ref="B155:C155"/>
    <mergeCell ref="B156:C156"/>
    <mergeCell ref="B157:C157"/>
    <mergeCell ref="A148:C148"/>
    <mergeCell ref="B149:C149"/>
    <mergeCell ref="B150:C150"/>
    <mergeCell ref="B151:C151"/>
    <mergeCell ref="B152:C152"/>
    <mergeCell ref="B130:C130"/>
    <mergeCell ref="B131:C131"/>
    <mergeCell ref="B132:C132"/>
    <mergeCell ref="B133:C133"/>
    <mergeCell ref="A136:B136"/>
    <mergeCell ref="B124:C124"/>
    <mergeCell ref="B125:C125"/>
    <mergeCell ref="B126:C126"/>
    <mergeCell ref="B127:C127"/>
    <mergeCell ref="B128:C128"/>
    <mergeCell ref="B129:C129"/>
    <mergeCell ref="B107:C107"/>
    <mergeCell ref="B108:C108"/>
    <mergeCell ref="B109:C109"/>
    <mergeCell ref="A111:B111"/>
    <mergeCell ref="A123:C123"/>
    <mergeCell ref="B101:C101"/>
    <mergeCell ref="B102:C102"/>
    <mergeCell ref="A104:C104"/>
    <mergeCell ref="B105:C105"/>
    <mergeCell ref="B106:C106"/>
    <mergeCell ref="A122:H122"/>
    <mergeCell ref="B94:C94"/>
    <mergeCell ref="B95:C95"/>
    <mergeCell ref="B96:C96"/>
    <mergeCell ref="A98:C98"/>
    <mergeCell ref="B99:C99"/>
    <mergeCell ref="B100:C100"/>
    <mergeCell ref="B87:C87"/>
    <mergeCell ref="B88:C88"/>
    <mergeCell ref="B89:C89"/>
    <mergeCell ref="B90:C90"/>
    <mergeCell ref="B91:C91"/>
    <mergeCell ref="A93:C93"/>
    <mergeCell ref="B80:C80"/>
    <mergeCell ref="B81:C81"/>
    <mergeCell ref="A83:C83"/>
    <mergeCell ref="B84:C84"/>
    <mergeCell ref="B85:C85"/>
    <mergeCell ref="B86:C86"/>
    <mergeCell ref="B74:C74"/>
    <mergeCell ref="B75:C75"/>
    <mergeCell ref="B76:C76"/>
    <mergeCell ref="B77:C77"/>
    <mergeCell ref="B78:C78"/>
    <mergeCell ref="B79:C79"/>
    <mergeCell ref="B67:C67"/>
    <mergeCell ref="B68:C68"/>
    <mergeCell ref="B69:C69"/>
    <mergeCell ref="B70:C70"/>
    <mergeCell ref="B71:C71"/>
    <mergeCell ref="A73:C73"/>
    <mergeCell ref="B58:C58"/>
    <mergeCell ref="B59:C59"/>
    <mergeCell ref="B60:C60"/>
    <mergeCell ref="B61:C61"/>
    <mergeCell ref="B64:C64"/>
    <mergeCell ref="A66:C66"/>
    <mergeCell ref="B62:C62"/>
    <mergeCell ref="B63:C63"/>
    <mergeCell ref="B35:D35"/>
    <mergeCell ref="A36:C36"/>
    <mergeCell ref="A37:B37"/>
    <mergeCell ref="A43:C43"/>
    <mergeCell ref="A56:C56"/>
    <mergeCell ref="B57:C57"/>
    <mergeCell ref="B29:C29"/>
    <mergeCell ref="B30:C30"/>
    <mergeCell ref="B31:C31"/>
    <mergeCell ref="B32:C32"/>
    <mergeCell ref="B33:C33"/>
    <mergeCell ref="B34:C34"/>
    <mergeCell ref="A16:B16"/>
    <mergeCell ref="C16:G16"/>
    <mergeCell ref="A18:D18"/>
    <mergeCell ref="A26:C26"/>
    <mergeCell ref="B27:C27"/>
    <mergeCell ref="B28:C28"/>
    <mergeCell ref="A13:B13"/>
    <mergeCell ref="C13:G13"/>
    <mergeCell ref="A14:B14"/>
    <mergeCell ref="C14:G14"/>
    <mergeCell ref="A15:B15"/>
    <mergeCell ref="C15:G15"/>
    <mergeCell ref="A8:B8"/>
    <mergeCell ref="C8:G8"/>
    <mergeCell ref="A9:B9"/>
    <mergeCell ref="C9:G9"/>
    <mergeCell ref="A11:G11"/>
    <mergeCell ref="A12:B12"/>
    <mergeCell ref="C12:G12"/>
    <mergeCell ref="A1:H1"/>
    <mergeCell ref="A2:H2"/>
    <mergeCell ref="A4:H4"/>
    <mergeCell ref="A5:H5"/>
    <mergeCell ref="A6:H6"/>
    <mergeCell ref="A7:H7"/>
  </mergeCells>
  <pageMargins left="0.511811024" right="0.511811024" top="0.78740157499999996" bottom="0.78740157499999996" header="0.31496062000000002" footer="0.31496062000000002"/>
  <pageSetup paperSize="9" scale="91" orientation="landscape" r:id="rId1"/>
  <headerFooter>
    <oddHeader>&amp;L&amp;G&amp;C&amp;"-,Itálico"&amp;9Processo 23069.152636/2023-41
PE 16/2023&amp;R&amp;G</oddHeader>
    <oddFooter>&amp;L&amp;9&amp;A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2297-ACC3-4C1C-A1FC-007D86E99B12}">
  <dimension ref="A1:G157"/>
  <sheetViews>
    <sheetView topLeftCell="A67" zoomScaleNormal="100" workbookViewId="0">
      <selection activeCell="A4" sqref="A4:G4"/>
    </sheetView>
  </sheetViews>
  <sheetFormatPr defaultColWidth="8.85546875" defaultRowHeight="15"/>
  <cols>
    <col min="1" max="1" width="9.42578125" bestFit="1" customWidth="1"/>
    <col min="2" max="2" width="53.28515625" customWidth="1"/>
    <col min="3" max="3" width="11.140625" bestFit="1" customWidth="1"/>
    <col min="4" max="4" width="14.28515625" bestFit="1" customWidth="1"/>
    <col min="5" max="5" width="18" bestFit="1" customWidth="1"/>
    <col min="6" max="6" width="13.28515625" bestFit="1" customWidth="1"/>
    <col min="7" max="7" width="12.140625" bestFit="1" customWidth="1"/>
  </cols>
  <sheetData>
    <row r="1" spans="1:5" ht="18" customHeight="1">
      <c r="A1" s="208" t="s">
        <v>0</v>
      </c>
      <c r="B1" s="208"/>
      <c r="C1" s="208"/>
      <c r="D1" s="208"/>
      <c r="E1" s="208"/>
    </row>
    <row r="2" spans="1:5" ht="18.75">
      <c r="A2" s="209" t="s">
        <v>2</v>
      </c>
      <c r="B2" s="209"/>
      <c r="C2" s="209"/>
      <c r="D2" s="209"/>
      <c r="E2" s="209"/>
    </row>
    <row r="4" spans="1:5" ht="14.45" customHeight="1">
      <c r="A4" s="242" t="s">
        <v>156</v>
      </c>
      <c r="B4" s="242"/>
      <c r="C4" s="242"/>
      <c r="D4" s="242"/>
      <c r="E4" s="242"/>
    </row>
    <row r="5" spans="1:5" ht="38.450000000000003" customHeight="1">
      <c r="A5" s="211" t="s">
        <v>167</v>
      </c>
      <c r="B5" s="211"/>
      <c r="C5" s="211"/>
      <c r="D5" s="211"/>
      <c r="E5" s="211"/>
    </row>
    <row r="6" spans="1:5">
      <c r="A6" s="241" t="s">
        <v>29</v>
      </c>
      <c r="B6" s="241"/>
      <c r="C6" s="241"/>
      <c r="D6" s="241"/>
      <c r="E6" s="241"/>
    </row>
    <row r="7" spans="1:5" ht="15.75" thickBot="1">
      <c r="A7" s="241" t="s">
        <v>30</v>
      </c>
      <c r="B7" s="241"/>
      <c r="C7" s="241"/>
      <c r="D7" s="241"/>
      <c r="E7" s="241"/>
    </row>
    <row r="8" spans="1:5">
      <c r="A8" s="258" t="s">
        <v>132</v>
      </c>
      <c r="B8" s="259"/>
      <c r="C8" s="260" t="s">
        <v>133</v>
      </c>
      <c r="D8" s="260"/>
      <c r="E8" s="261"/>
    </row>
    <row r="9" spans="1:5" ht="15.75" thickBot="1">
      <c r="A9" s="323" t="s">
        <v>315</v>
      </c>
      <c r="B9" s="324"/>
      <c r="C9" s="264"/>
      <c r="D9" s="264"/>
      <c r="E9" s="265"/>
    </row>
    <row r="10" spans="1:5" ht="15.75" thickBot="1">
      <c r="A10" s="12"/>
      <c r="B10" s="27"/>
      <c r="C10" s="28"/>
      <c r="D10" s="28"/>
      <c r="E10" s="28"/>
    </row>
    <row r="11" spans="1:5">
      <c r="A11" s="266" t="s">
        <v>134</v>
      </c>
      <c r="B11" s="267"/>
      <c r="C11" s="267"/>
      <c r="D11" s="267"/>
      <c r="E11" s="268"/>
    </row>
    <row r="12" spans="1:5">
      <c r="A12" s="252" t="s">
        <v>135</v>
      </c>
      <c r="B12" s="253"/>
      <c r="C12" s="269" t="s">
        <v>315</v>
      </c>
      <c r="D12" s="269"/>
      <c r="E12" s="302"/>
    </row>
    <row r="13" spans="1:5">
      <c r="A13" s="252" t="s">
        <v>136</v>
      </c>
      <c r="B13" s="253"/>
      <c r="C13" s="269" t="s">
        <v>315</v>
      </c>
      <c r="D13" s="269"/>
      <c r="E13" s="302"/>
    </row>
    <row r="14" spans="1:5">
      <c r="A14" s="256" t="s">
        <v>137</v>
      </c>
      <c r="B14" s="257"/>
      <c r="C14" s="269" t="s">
        <v>315</v>
      </c>
      <c r="D14" s="269"/>
      <c r="E14" s="302"/>
    </row>
    <row r="15" spans="1:5">
      <c r="A15" s="252" t="s">
        <v>138</v>
      </c>
      <c r="B15" s="253"/>
      <c r="C15" s="269" t="s">
        <v>315</v>
      </c>
      <c r="D15" s="269"/>
      <c r="E15" s="302"/>
    </row>
    <row r="16" spans="1:5" ht="15.75" thickBot="1">
      <c r="A16" s="243" t="s">
        <v>139</v>
      </c>
      <c r="B16" s="244"/>
      <c r="C16" s="303" t="s">
        <v>315</v>
      </c>
      <c r="D16" s="303"/>
      <c r="E16" s="304"/>
    </row>
    <row r="17" spans="1:7" ht="15.75" thickBot="1">
      <c r="A17" s="12"/>
      <c r="B17" s="27"/>
      <c r="C17" s="28"/>
      <c r="D17" s="28"/>
      <c r="E17" s="28"/>
    </row>
    <row r="18" spans="1:7">
      <c r="A18" s="296" t="s">
        <v>140</v>
      </c>
      <c r="B18" s="297"/>
      <c r="C18" s="297"/>
      <c r="D18" s="325"/>
      <c r="E18" s="29"/>
    </row>
    <row r="19" spans="1:7">
      <c r="A19" s="30" t="s">
        <v>141</v>
      </c>
      <c r="B19" s="95" t="s">
        <v>142</v>
      </c>
      <c r="C19" s="96" t="s">
        <v>143</v>
      </c>
      <c r="D19" s="31" t="s">
        <v>144</v>
      </c>
      <c r="E19" s="28"/>
    </row>
    <row r="20" spans="1:7">
      <c r="A20" s="15">
        <v>20.88</v>
      </c>
      <c r="B20" s="15" t="str">
        <f>'Anexo IV - Custo Total MDO'!B19</f>
        <v>Auxiliar de Cozinha</v>
      </c>
      <c r="C20" s="52" t="s">
        <v>192</v>
      </c>
      <c r="D20" s="33">
        <v>1669.8</v>
      </c>
      <c r="E20" s="28"/>
    </row>
    <row r="21" spans="1:7">
      <c r="A21" s="15">
        <v>20.88</v>
      </c>
      <c r="B21" s="15" t="str">
        <f>'Anexo IV - Custo Total MDO'!B20</f>
        <v>Auxiliar de Pessoal</v>
      </c>
      <c r="C21" s="52" t="s">
        <v>318</v>
      </c>
      <c r="D21" s="33">
        <v>1722.6</v>
      </c>
      <c r="E21" s="28"/>
    </row>
    <row r="22" spans="1:7">
      <c r="A22" s="15">
        <v>20.88</v>
      </c>
      <c r="B22" s="15" t="str">
        <f>'Anexo IV - Custo Total MDO'!B21</f>
        <v>Auxiliar de Serviços Gerais</v>
      </c>
      <c r="C22" s="52" t="s">
        <v>191</v>
      </c>
      <c r="D22" s="33">
        <v>1639</v>
      </c>
      <c r="E22" s="28"/>
    </row>
    <row r="23" spans="1:7">
      <c r="A23" s="15">
        <v>20.88</v>
      </c>
      <c r="B23" s="15" t="str">
        <f>'Anexo IV - Custo Total MDO'!B22</f>
        <v>Operador de Caixa</v>
      </c>
      <c r="C23" s="52" t="s">
        <v>157</v>
      </c>
      <c r="D23" s="33">
        <v>1722.6</v>
      </c>
    </row>
    <row r="24" spans="1:7" ht="15.75" thickBot="1">
      <c r="A24" s="12"/>
      <c r="B24" s="12"/>
      <c r="C24" s="13"/>
      <c r="D24" s="13"/>
      <c r="E24" s="13"/>
    </row>
    <row r="25" spans="1:7">
      <c r="A25" s="305" t="s">
        <v>31</v>
      </c>
      <c r="B25" s="306"/>
      <c r="C25" s="307"/>
      <c r="D25" s="34" t="s">
        <v>189</v>
      </c>
      <c r="E25" s="35" t="str">
        <f>B21</f>
        <v>Auxiliar de Pessoal</v>
      </c>
      <c r="F25" s="35" t="s">
        <v>190</v>
      </c>
      <c r="G25" s="178" t="s">
        <v>158</v>
      </c>
    </row>
    <row r="26" spans="1:7">
      <c r="A26" s="36">
        <v>1</v>
      </c>
      <c r="B26" s="326" t="s">
        <v>32</v>
      </c>
      <c r="C26" s="327"/>
      <c r="D26" s="37" t="s">
        <v>33</v>
      </c>
      <c r="E26" s="37" t="s">
        <v>33</v>
      </c>
      <c r="F26" s="37" t="s">
        <v>33</v>
      </c>
      <c r="G26" s="38" t="s">
        <v>33</v>
      </c>
    </row>
    <row r="27" spans="1:7">
      <c r="A27" s="39" t="s">
        <v>34</v>
      </c>
      <c r="B27" s="328" t="s">
        <v>35</v>
      </c>
      <c r="C27" s="329"/>
      <c r="D27" s="40">
        <f>D20</f>
        <v>1669.8</v>
      </c>
      <c r="E27" s="17">
        <f>D21</f>
        <v>1722.6</v>
      </c>
      <c r="F27" s="17">
        <f>D22</f>
        <v>1639</v>
      </c>
      <c r="G27" s="179">
        <f>D23</f>
        <v>1722.6</v>
      </c>
    </row>
    <row r="28" spans="1:7">
      <c r="A28" s="39" t="s">
        <v>36</v>
      </c>
      <c r="B28" s="328" t="s">
        <v>37</v>
      </c>
      <c r="C28" s="329"/>
      <c r="D28" s="43"/>
      <c r="E28" s="16"/>
      <c r="F28" s="16"/>
      <c r="G28" s="205"/>
    </row>
    <row r="29" spans="1:7">
      <c r="A29" s="39" t="s">
        <v>38</v>
      </c>
      <c r="B29" s="328" t="s">
        <v>145</v>
      </c>
      <c r="C29" s="329"/>
      <c r="D29" s="43"/>
      <c r="E29" s="16"/>
      <c r="F29" s="16"/>
      <c r="G29" s="205"/>
    </row>
    <row r="30" spans="1:7">
      <c r="A30" s="39" t="s">
        <v>39</v>
      </c>
      <c r="B30" s="330" t="s">
        <v>40</v>
      </c>
      <c r="C30" s="331"/>
      <c r="D30" s="43"/>
      <c r="E30" s="17"/>
      <c r="F30" s="17"/>
      <c r="G30" s="179"/>
    </row>
    <row r="31" spans="1:7">
      <c r="A31" s="39" t="s">
        <v>41</v>
      </c>
      <c r="B31" s="330" t="s">
        <v>42</v>
      </c>
      <c r="C31" s="331"/>
      <c r="D31" s="43"/>
      <c r="E31" s="16"/>
      <c r="F31" s="16"/>
      <c r="G31" s="205"/>
    </row>
    <row r="32" spans="1:7">
      <c r="A32" s="39" t="s">
        <v>43</v>
      </c>
      <c r="B32" s="332" t="s">
        <v>146</v>
      </c>
      <c r="C32" s="333"/>
      <c r="D32" s="47"/>
      <c r="E32" s="16"/>
      <c r="F32" s="16"/>
      <c r="G32" s="205"/>
    </row>
    <row r="33" spans="1:7" ht="15.75" thickBot="1">
      <c r="A33" s="48"/>
      <c r="B33" s="316" t="s">
        <v>45</v>
      </c>
      <c r="C33" s="317"/>
      <c r="D33" s="49">
        <f>SUM(D27:D32)</f>
        <v>1669.8</v>
      </c>
      <c r="E33" s="49">
        <f t="shared" ref="E33:F33" si="0">SUM(E27:E32)</f>
        <v>1722.6</v>
      </c>
      <c r="F33" s="49">
        <f t="shared" si="0"/>
        <v>1639</v>
      </c>
      <c r="G33" s="50">
        <f t="shared" ref="G33" si="1">SUM(G27:G32)</f>
        <v>1722.6</v>
      </c>
    </row>
    <row r="34" spans="1:7" ht="15.75" thickBot="1">
      <c r="A34" s="12"/>
      <c r="B34" s="270"/>
      <c r="C34" s="270"/>
      <c r="D34" s="270"/>
      <c r="E34" s="13"/>
      <c r="F34" s="13"/>
      <c r="G34" s="13"/>
    </row>
    <row r="35" spans="1:7">
      <c r="A35" s="271" t="s">
        <v>46</v>
      </c>
      <c r="B35" s="272"/>
      <c r="C35" s="272"/>
      <c r="D35" s="34" t="s">
        <v>189</v>
      </c>
      <c r="E35" s="35" t="s">
        <v>309</v>
      </c>
      <c r="F35" s="35" t="s">
        <v>190</v>
      </c>
      <c r="G35" s="178" t="s">
        <v>158</v>
      </c>
    </row>
    <row r="36" spans="1:7" ht="30.75" customHeight="1">
      <c r="A36" s="273" t="s">
        <v>47</v>
      </c>
      <c r="B36" s="274"/>
      <c r="C36" s="51"/>
      <c r="D36" s="37" t="s">
        <v>33</v>
      </c>
      <c r="E36" s="37" t="s">
        <v>33</v>
      </c>
      <c r="F36" s="37" t="s">
        <v>33</v>
      </c>
      <c r="G36" s="38" t="s">
        <v>33</v>
      </c>
    </row>
    <row r="37" spans="1:7">
      <c r="A37" s="39" t="s">
        <v>34</v>
      </c>
      <c r="B37" s="53" t="s">
        <v>51</v>
      </c>
      <c r="C37" s="53"/>
      <c r="D37" s="54">
        <f>D33*8.33%</f>
        <v>139.09433999999999</v>
      </c>
      <c r="E37" s="54">
        <f>E33*8.33%</f>
        <v>143.49258</v>
      </c>
      <c r="F37" s="54">
        <f>F33*8.33%</f>
        <v>136.52869999999999</v>
      </c>
      <c r="G37" s="186">
        <f>G33*8.33%</f>
        <v>143.49258</v>
      </c>
    </row>
    <row r="38" spans="1:7">
      <c r="A38" s="39" t="s">
        <v>36</v>
      </c>
      <c r="B38" s="53" t="s">
        <v>52</v>
      </c>
      <c r="C38" s="53"/>
      <c r="D38" s="54">
        <f>D33*12.1%</f>
        <v>202.04579999999999</v>
      </c>
      <c r="E38" s="54">
        <f>E33*12.1%</f>
        <v>208.43459999999999</v>
      </c>
      <c r="F38" s="54">
        <f>F33*12.1%</f>
        <v>198.31899999999999</v>
      </c>
      <c r="G38" s="186">
        <f>G33*12.1%</f>
        <v>208.43459999999999</v>
      </c>
    </row>
    <row r="39" spans="1:7">
      <c r="A39" s="39"/>
      <c r="B39" s="51" t="s">
        <v>53</v>
      </c>
      <c r="C39" s="51"/>
      <c r="D39" s="55">
        <f>SUM(D37:D38)</f>
        <v>341.14013999999997</v>
      </c>
      <c r="E39" s="55">
        <f>SUM(E37:E38)</f>
        <v>351.92718000000002</v>
      </c>
      <c r="F39" s="55">
        <f>SUM(F37:F38)</f>
        <v>334.84769999999997</v>
      </c>
      <c r="G39" s="188">
        <f>SUM(G37:G38)</f>
        <v>351.92718000000002</v>
      </c>
    </row>
    <row r="40" spans="1:7" ht="57.75" customHeight="1" thickBot="1">
      <c r="A40" s="112" t="s">
        <v>38</v>
      </c>
      <c r="B40" s="113" t="s">
        <v>54</v>
      </c>
      <c r="C40" s="113"/>
      <c r="D40" s="114">
        <f>D33*7.82%</f>
        <v>130.57836</v>
      </c>
      <c r="E40" s="114">
        <f>E33*7.82%</f>
        <v>134.70732000000001</v>
      </c>
      <c r="F40" s="114">
        <f>F33*7.82%</f>
        <v>128.16980000000001</v>
      </c>
      <c r="G40" s="197">
        <f>G33*7.82%</f>
        <v>134.70732000000001</v>
      </c>
    </row>
    <row r="41" spans="1:7" ht="15.75" thickBot="1">
      <c r="A41" s="12"/>
      <c r="B41" s="12"/>
      <c r="C41" s="12"/>
      <c r="D41" s="12"/>
      <c r="E41" s="13"/>
      <c r="F41" s="13"/>
      <c r="G41" s="13"/>
    </row>
    <row r="42" spans="1:7" ht="32.450000000000003" customHeight="1">
      <c r="A42" s="275" t="s">
        <v>55</v>
      </c>
      <c r="B42" s="276"/>
      <c r="C42" s="276"/>
      <c r="D42" s="34" t="s">
        <v>189</v>
      </c>
      <c r="E42" s="35" t="s">
        <v>309</v>
      </c>
      <c r="F42" s="35" t="s">
        <v>190</v>
      </c>
      <c r="G42" s="178" t="s">
        <v>158</v>
      </c>
    </row>
    <row r="43" spans="1:7">
      <c r="A43" s="36" t="s">
        <v>56</v>
      </c>
      <c r="B43" s="56" t="s">
        <v>57</v>
      </c>
      <c r="C43" s="57" t="s">
        <v>58</v>
      </c>
      <c r="D43" s="58" t="s">
        <v>33</v>
      </c>
      <c r="E43" s="58" t="s">
        <v>33</v>
      </c>
      <c r="F43" s="58" t="s">
        <v>33</v>
      </c>
      <c r="G43" s="185" t="s">
        <v>33</v>
      </c>
    </row>
    <row r="44" spans="1:7">
      <c r="A44" s="39" t="s">
        <v>34</v>
      </c>
      <c r="B44" s="59" t="s">
        <v>59</v>
      </c>
      <c r="C44" s="60">
        <v>20</v>
      </c>
      <c r="D44" s="54">
        <f>(D33*($C$44/100))</f>
        <v>333.96000000000004</v>
      </c>
      <c r="E44" s="54">
        <f t="shared" ref="E44:F44" si="2">(E33*($C$44/100))</f>
        <v>344.52</v>
      </c>
      <c r="F44" s="54">
        <f t="shared" si="2"/>
        <v>327.8</v>
      </c>
      <c r="G44" s="186">
        <f t="shared" ref="G44" si="3">(G33*($C$44/100))</f>
        <v>344.52</v>
      </c>
    </row>
    <row r="45" spans="1:7">
      <c r="A45" s="39" t="s">
        <v>36</v>
      </c>
      <c r="B45" s="61" t="s">
        <v>60</v>
      </c>
      <c r="C45" s="62">
        <v>2.5</v>
      </c>
      <c r="D45" s="63">
        <f>(D33*($C$45/100))</f>
        <v>41.745000000000005</v>
      </c>
      <c r="E45" s="63">
        <f t="shared" ref="E45:F45" si="4">(E33*($C$45/100))</f>
        <v>43.064999999999998</v>
      </c>
      <c r="F45" s="63">
        <f t="shared" si="4"/>
        <v>40.975000000000001</v>
      </c>
      <c r="G45" s="196">
        <f t="shared" ref="G45" si="5">(G33*($C$45/100))</f>
        <v>43.064999999999998</v>
      </c>
    </row>
    <row r="46" spans="1:7">
      <c r="A46" s="39" t="s">
        <v>38</v>
      </c>
      <c r="B46" s="59" t="s">
        <v>61</v>
      </c>
      <c r="C46" s="60">
        <v>6</v>
      </c>
      <c r="D46" s="54">
        <f>(D$33*($C$46/100))</f>
        <v>100.18799999999999</v>
      </c>
      <c r="E46" s="54">
        <f t="shared" ref="E46:G46" si="6">(E$33*($C$46/100))</f>
        <v>103.35599999999999</v>
      </c>
      <c r="F46" s="54">
        <f t="shared" si="6"/>
        <v>98.34</v>
      </c>
      <c r="G46" s="186">
        <f t="shared" si="6"/>
        <v>103.35599999999999</v>
      </c>
    </row>
    <row r="47" spans="1:7">
      <c r="A47" s="39" t="s">
        <v>39</v>
      </c>
      <c r="B47" s="61" t="s">
        <v>62</v>
      </c>
      <c r="C47" s="62">
        <v>1.5</v>
      </c>
      <c r="D47" s="54">
        <f>(D$33*($C$47/100))</f>
        <v>25.046999999999997</v>
      </c>
      <c r="E47" s="54">
        <f t="shared" ref="E47:G47" si="7">(E$33*($C$47/100))</f>
        <v>25.838999999999999</v>
      </c>
      <c r="F47" s="54">
        <f t="shared" si="7"/>
        <v>24.585000000000001</v>
      </c>
      <c r="G47" s="186">
        <f t="shared" si="7"/>
        <v>25.838999999999999</v>
      </c>
    </row>
    <row r="48" spans="1:7">
      <c r="A48" s="39" t="s">
        <v>41</v>
      </c>
      <c r="B48" s="61" t="s">
        <v>63</v>
      </c>
      <c r="C48" s="62">
        <v>1</v>
      </c>
      <c r="D48" s="54">
        <f>(D$33*($C$48/100))</f>
        <v>16.698</v>
      </c>
      <c r="E48" s="54">
        <f t="shared" ref="E48:G48" si="8">(E$33*($C$48/100))</f>
        <v>17.225999999999999</v>
      </c>
      <c r="F48" s="54">
        <f t="shared" si="8"/>
        <v>16.39</v>
      </c>
      <c r="G48" s="186">
        <f t="shared" si="8"/>
        <v>17.225999999999999</v>
      </c>
    </row>
    <row r="49" spans="1:7">
      <c r="A49" s="39" t="s">
        <v>43</v>
      </c>
      <c r="B49" s="61" t="s">
        <v>64</v>
      </c>
      <c r="C49" s="62">
        <v>0.6</v>
      </c>
      <c r="D49" s="54">
        <f>(D$33*($C$49/100))</f>
        <v>10.018800000000001</v>
      </c>
      <c r="E49" s="54">
        <f t="shared" ref="E49:G49" si="9">(E$33*($C$49/100))</f>
        <v>10.335599999999999</v>
      </c>
      <c r="F49" s="54">
        <f t="shared" si="9"/>
        <v>9.8339999999999996</v>
      </c>
      <c r="G49" s="186">
        <f t="shared" si="9"/>
        <v>10.335599999999999</v>
      </c>
    </row>
    <row r="50" spans="1:7">
      <c r="A50" s="39" t="s">
        <v>65</v>
      </c>
      <c r="B50" s="61" t="s">
        <v>66</v>
      </c>
      <c r="C50" s="62">
        <v>0.2</v>
      </c>
      <c r="D50" s="54">
        <f>(D$33*($C$50/100))</f>
        <v>3.3395999999999999</v>
      </c>
      <c r="E50" s="54">
        <f t="shared" ref="E50:G50" si="10">(E$33*($C$50/100))</f>
        <v>3.4451999999999998</v>
      </c>
      <c r="F50" s="54">
        <f t="shared" si="10"/>
        <v>3.278</v>
      </c>
      <c r="G50" s="186">
        <f t="shared" si="10"/>
        <v>3.4451999999999998</v>
      </c>
    </row>
    <row r="51" spans="1:7">
      <c r="A51" s="39" t="s">
        <v>67</v>
      </c>
      <c r="B51" s="59" t="s">
        <v>68</v>
      </c>
      <c r="C51" s="60">
        <v>8</v>
      </c>
      <c r="D51" s="54">
        <f>(D$33*($C$51/100))</f>
        <v>133.584</v>
      </c>
      <c r="E51" s="54">
        <f t="shared" ref="E51:G51" si="11">(E$33*($C$51/100))</f>
        <v>137.80799999999999</v>
      </c>
      <c r="F51" s="54">
        <f t="shared" si="11"/>
        <v>131.12</v>
      </c>
      <c r="G51" s="186">
        <f t="shared" si="11"/>
        <v>137.80799999999999</v>
      </c>
    </row>
    <row r="52" spans="1:7" ht="15.75" thickBot="1">
      <c r="A52" s="48"/>
      <c r="B52" s="109" t="s">
        <v>69</v>
      </c>
      <c r="C52" s="111">
        <f>SUM(C44:C51)</f>
        <v>39.799999999999997</v>
      </c>
      <c r="D52" s="102">
        <f>SUM(D44:D51)</f>
        <v>664.58040000000005</v>
      </c>
      <c r="E52" s="102">
        <f t="shared" ref="E52:F52" si="12">SUM(E44:E51)</f>
        <v>685.59479999999996</v>
      </c>
      <c r="F52" s="102">
        <f t="shared" si="12"/>
        <v>652.322</v>
      </c>
      <c r="G52" s="187">
        <f t="shared" ref="G52" si="13">SUM(G44:G51)</f>
        <v>685.59479999999996</v>
      </c>
    </row>
    <row r="53" spans="1:7">
      <c r="A53" s="64"/>
      <c r="B53" s="65" t="s">
        <v>70</v>
      </c>
      <c r="C53" s="64"/>
      <c r="D53" s="64"/>
      <c r="E53" s="13"/>
      <c r="F53" s="13"/>
      <c r="G53" s="13"/>
    </row>
    <row r="54" spans="1:7" ht="15.75" thickBot="1">
      <c r="A54" s="64"/>
      <c r="B54" s="65"/>
      <c r="C54" s="64"/>
      <c r="D54" s="64"/>
      <c r="E54" s="13"/>
      <c r="F54" s="13"/>
      <c r="G54" s="13"/>
    </row>
    <row r="55" spans="1:7">
      <c r="A55" s="277" t="s">
        <v>71</v>
      </c>
      <c r="B55" s="278"/>
      <c r="C55" s="278"/>
      <c r="D55" s="34" t="s">
        <v>189</v>
      </c>
      <c r="E55" s="35" t="s">
        <v>309</v>
      </c>
      <c r="F55" s="35" t="s">
        <v>190</v>
      </c>
      <c r="G55" s="178" t="s">
        <v>158</v>
      </c>
    </row>
    <row r="56" spans="1:7">
      <c r="A56" s="36" t="s">
        <v>72</v>
      </c>
      <c r="B56" s="250" t="s">
        <v>73</v>
      </c>
      <c r="C56" s="250"/>
      <c r="D56" s="37" t="s">
        <v>33</v>
      </c>
      <c r="E56" s="37" t="s">
        <v>33</v>
      </c>
      <c r="F56" s="37" t="s">
        <v>33</v>
      </c>
      <c r="G56" s="38" t="s">
        <v>33</v>
      </c>
    </row>
    <row r="57" spans="1:7">
      <c r="A57" s="39" t="s">
        <v>34</v>
      </c>
      <c r="B57" s="282" t="s">
        <v>240</v>
      </c>
      <c r="C57" s="282"/>
      <c r="D57" s="66">
        <f>(4.45*4*A20)-(6%*D20)</f>
        <v>271.476</v>
      </c>
      <c r="E57" s="66">
        <f>(4.45*4*A21)-(6%*D21)</f>
        <v>268.30799999999999</v>
      </c>
      <c r="F57" s="66">
        <f>(4.45*4*A22)-(6%*D22)</f>
        <v>273.32399999999996</v>
      </c>
      <c r="G57" s="193">
        <f>(4.45*4*A23)-(6%*D23)</f>
        <v>268.30799999999999</v>
      </c>
    </row>
    <row r="58" spans="1:7">
      <c r="A58" s="39" t="s">
        <v>36</v>
      </c>
      <c r="B58" s="251" t="s">
        <v>237</v>
      </c>
      <c r="C58" s="251"/>
      <c r="D58" s="67"/>
      <c r="E58" s="67"/>
      <c r="F58" s="67"/>
      <c r="G58" s="194"/>
    </row>
    <row r="59" spans="1:7">
      <c r="A59" s="39" t="s">
        <v>38</v>
      </c>
      <c r="B59" s="251" t="s">
        <v>238</v>
      </c>
      <c r="C59" s="251"/>
      <c r="D59" s="66">
        <v>59.63</v>
      </c>
      <c r="E59" s="66">
        <v>59.63</v>
      </c>
      <c r="F59" s="66">
        <v>59.63</v>
      </c>
      <c r="G59" s="193">
        <v>59.63</v>
      </c>
    </row>
    <row r="60" spans="1:7">
      <c r="A60" s="39" t="s">
        <v>39</v>
      </c>
      <c r="B60" s="251" t="s">
        <v>239</v>
      </c>
      <c r="C60" s="251"/>
      <c r="D60" s="66">
        <v>31</v>
      </c>
      <c r="E60" s="66">
        <v>31</v>
      </c>
      <c r="F60" s="66">
        <v>31</v>
      </c>
      <c r="G60" s="193">
        <v>31</v>
      </c>
    </row>
    <row r="61" spans="1:7">
      <c r="A61" s="206" t="s">
        <v>41</v>
      </c>
      <c r="B61" s="328" t="s">
        <v>241</v>
      </c>
      <c r="C61" s="329"/>
      <c r="D61" s="66">
        <f>255-29.9</f>
        <v>225.1</v>
      </c>
      <c r="E61" s="66">
        <f t="shared" ref="E61:G61" si="14">255-29.9</f>
        <v>225.1</v>
      </c>
      <c r="F61" s="66">
        <f t="shared" si="14"/>
        <v>225.1</v>
      </c>
      <c r="G61" s="193">
        <f t="shared" si="14"/>
        <v>225.1</v>
      </c>
    </row>
    <row r="62" spans="1:7">
      <c r="A62" s="206" t="s">
        <v>43</v>
      </c>
      <c r="B62" s="328" t="s">
        <v>242</v>
      </c>
      <c r="C62" s="329"/>
      <c r="D62" s="141">
        <f>(255-29.9)/12</f>
        <v>18.758333333333333</v>
      </c>
      <c r="E62" s="141">
        <f t="shared" ref="E62:G62" si="15">(255-29.9)/12</f>
        <v>18.758333333333333</v>
      </c>
      <c r="F62" s="141">
        <f t="shared" si="15"/>
        <v>18.758333333333333</v>
      </c>
      <c r="G62" s="195">
        <f t="shared" si="15"/>
        <v>18.758333333333333</v>
      </c>
    </row>
    <row r="63" spans="1:7" ht="15.75" thickBot="1">
      <c r="A63" s="48"/>
      <c r="B63" s="281" t="s">
        <v>74</v>
      </c>
      <c r="C63" s="281"/>
      <c r="D63" s="49">
        <f>SUM(D57:D62)</f>
        <v>605.96433333333334</v>
      </c>
      <c r="E63" s="49">
        <f t="shared" ref="E63:G63" si="16">SUM(E57:E62)</f>
        <v>602.79633333333334</v>
      </c>
      <c r="F63" s="49">
        <f t="shared" si="16"/>
        <v>607.8123333333333</v>
      </c>
      <c r="G63" s="50">
        <f t="shared" si="16"/>
        <v>602.79633333333334</v>
      </c>
    </row>
    <row r="64" spans="1:7" ht="15.75" thickBot="1">
      <c r="A64" s="64"/>
      <c r="B64" s="69"/>
      <c r="C64" s="70"/>
      <c r="D64" s="70"/>
      <c r="E64" s="13"/>
      <c r="F64" s="13"/>
      <c r="G64" s="13"/>
    </row>
    <row r="65" spans="1:7">
      <c r="A65" s="271" t="s">
        <v>75</v>
      </c>
      <c r="B65" s="272"/>
      <c r="C65" s="272"/>
      <c r="D65" s="34" t="s">
        <v>189</v>
      </c>
      <c r="E65" s="35" t="s">
        <v>309</v>
      </c>
      <c r="F65" s="35" t="s">
        <v>190</v>
      </c>
      <c r="G65" s="178" t="s">
        <v>158</v>
      </c>
    </row>
    <row r="66" spans="1:7">
      <c r="A66" s="100">
        <v>2</v>
      </c>
      <c r="B66" s="250" t="s">
        <v>76</v>
      </c>
      <c r="C66" s="250"/>
      <c r="D66" s="71" t="s">
        <v>50</v>
      </c>
      <c r="E66" s="71" t="s">
        <v>50</v>
      </c>
      <c r="F66" s="71" t="s">
        <v>50</v>
      </c>
      <c r="G66" s="180" t="s">
        <v>50</v>
      </c>
    </row>
    <row r="67" spans="1:7">
      <c r="A67" s="100" t="s">
        <v>48</v>
      </c>
      <c r="B67" s="251" t="s">
        <v>49</v>
      </c>
      <c r="C67" s="251"/>
      <c r="D67" s="68">
        <f t="shared" ref="D67:E67" si="17">D39</f>
        <v>341.14013999999997</v>
      </c>
      <c r="E67" s="68">
        <f t="shared" si="17"/>
        <v>351.92718000000002</v>
      </c>
      <c r="F67" s="68">
        <f t="shared" ref="F67:G67" si="18">F39</f>
        <v>334.84769999999997</v>
      </c>
      <c r="G67" s="181">
        <f t="shared" si="18"/>
        <v>351.92718000000002</v>
      </c>
    </row>
    <row r="68" spans="1:7">
      <c r="A68" s="100" t="s">
        <v>56</v>
      </c>
      <c r="B68" s="251" t="s">
        <v>57</v>
      </c>
      <c r="C68" s="251"/>
      <c r="D68" s="68">
        <f t="shared" ref="D68:E68" si="19">D52+D40</f>
        <v>795.15876000000003</v>
      </c>
      <c r="E68" s="68">
        <f t="shared" si="19"/>
        <v>820.30211999999995</v>
      </c>
      <c r="F68" s="68">
        <f t="shared" ref="F68:G68" si="20">F52+F40</f>
        <v>780.49180000000001</v>
      </c>
      <c r="G68" s="181">
        <f t="shared" si="20"/>
        <v>820.30211999999995</v>
      </c>
    </row>
    <row r="69" spans="1:7">
      <c r="A69" s="100" t="s">
        <v>72</v>
      </c>
      <c r="B69" s="251" t="s">
        <v>73</v>
      </c>
      <c r="C69" s="251"/>
      <c r="D69" s="68">
        <f t="shared" ref="D69:E69" si="21">D63</f>
        <v>605.96433333333334</v>
      </c>
      <c r="E69" s="68">
        <f t="shared" si="21"/>
        <v>602.79633333333334</v>
      </c>
      <c r="F69" s="68">
        <f t="shared" ref="F69:G69" si="22">F63</f>
        <v>607.8123333333333</v>
      </c>
      <c r="G69" s="181">
        <f t="shared" si="22"/>
        <v>602.79633333333334</v>
      </c>
    </row>
    <row r="70" spans="1:7" ht="15.75" thickBot="1">
      <c r="A70" s="101"/>
      <c r="B70" s="281" t="s">
        <v>53</v>
      </c>
      <c r="C70" s="281"/>
      <c r="D70" s="49">
        <f t="shared" ref="D70:E70" si="23">SUM(D67:D69)</f>
        <v>1742.2632333333333</v>
      </c>
      <c r="E70" s="49">
        <f t="shared" si="23"/>
        <v>1775.0256333333332</v>
      </c>
      <c r="F70" s="49">
        <f t="shared" ref="F70:G70" si="24">SUM(F67:F69)</f>
        <v>1723.1518333333333</v>
      </c>
      <c r="G70" s="50">
        <f t="shared" si="24"/>
        <v>1775.0256333333332</v>
      </c>
    </row>
    <row r="71" spans="1:7" ht="15.75" thickBot="1">
      <c r="A71" s="12"/>
      <c r="B71" s="72"/>
      <c r="C71" s="70"/>
      <c r="D71" s="70"/>
      <c r="E71" s="13"/>
      <c r="F71" s="13"/>
      <c r="G71" s="13"/>
    </row>
    <row r="72" spans="1:7">
      <c r="A72" s="271" t="s">
        <v>77</v>
      </c>
      <c r="B72" s="272"/>
      <c r="C72" s="272"/>
      <c r="D72" s="34" t="s">
        <v>189</v>
      </c>
      <c r="E72" s="35" t="s">
        <v>309</v>
      </c>
      <c r="F72" s="35" t="s">
        <v>190</v>
      </c>
      <c r="G72" s="178" t="s">
        <v>158</v>
      </c>
    </row>
    <row r="73" spans="1:7">
      <c r="A73" s="36">
        <v>3</v>
      </c>
      <c r="B73" s="274" t="s">
        <v>78</v>
      </c>
      <c r="C73" s="274"/>
      <c r="D73" s="58" t="s">
        <v>33</v>
      </c>
      <c r="E73" s="58" t="s">
        <v>33</v>
      </c>
      <c r="F73" s="58" t="s">
        <v>33</v>
      </c>
      <c r="G73" s="185" t="s">
        <v>33</v>
      </c>
    </row>
    <row r="74" spans="1:7">
      <c r="A74" s="39" t="s">
        <v>34</v>
      </c>
      <c r="B74" s="279" t="s">
        <v>79</v>
      </c>
      <c r="C74" s="279"/>
      <c r="D74" s="73">
        <f t="shared" ref="D74:E74" si="25">((D33+D37+D38)/12)*5%</f>
        <v>8.3789172499999989</v>
      </c>
      <c r="E74" s="73">
        <f t="shared" si="25"/>
        <v>8.6438632500000008</v>
      </c>
      <c r="F74" s="73">
        <f t="shared" ref="F74:G74" si="26">((F33+F37+F38)/12)*5%</f>
        <v>8.224365416666668</v>
      </c>
      <c r="G74" s="191">
        <f t="shared" si="26"/>
        <v>8.6438632500000008</v>
      </c>
    </row>
    <row r="75" spans="1:7">
      <c r="A75" s="39" t="s">
        <v>36</v>
      </c>
      <c r="B75" s="279" t="s">
        <v>80</v>
      </c>
      <c r="C75" s="279"/>
      <c r="D75" s="74">
        <f t="shared" ref="D75:E75" si="27">((D33+D37)/12)*5%*8%</f>
        <v>0.60296477999999998</v>
      </c>
      <c r="E75" s="74">
        <f t="shared" si="27"/>
        <v>0.62203085999999996</v>
      </c>
      <c r="F75" s="74">
        <f t="shared" ref="F75:G75" si="28">((F33+F37)/12)*5%*8%</f>
        <v>0.59184290000000006</v>
      </c>
      <c r="G75" s="190">
        <f t="shared" si="28"/>
        <v>0.62203085999999996</v>
      </c>
    </row>
    <row r="76" spans="1:7">
      <c r="A76" s="39" t="s">
        <v>38</v>
      </c>
      <c r="B76" s="279" t="s">
        <v>81</v>
      </c>
      <c r="C76" s="279"/>
      <c r="D76" s="74">
        <v>0</v>
      </c>
      <c r="E76" s="74">
        <v>0</v>
      </c>
      <c r="F76" s="74">
        <v>0</v>
      </c>
      <c r="G76" s="190">
        <v>0</v>
      </c>
    </row>
    <row r="77" spans="1:7">
      <c r="A77" s="39" t="s">
        <v>39</v>
      </c>
      <c r="B77" s="279" t="s">
        <v>82</v>
      </c>
      <c r="C77" s="279"/>
      <c r="D77" s="74">
        <f>(((D33+D59+D60)/30/12)*7)</f>
        <v>34.230583333333335</v>
      </c>
      <c r="E77" s="74">
        <f t="shared" ref="E77:G77" si="29">(((E33+E59+E60)/30/12)*7)</f>
        <v>35.257250000000006</v>
      </c>
      <c r="F77" s="74">
        <f t="shared" si="29"/>
        <v>33.631694444444442</v>
      </c>
      <c r="G77" s="74">
        <f t="shared" si="29"/>
        <v>35.257250000000006</v>
      </c>
    </row>
    <row r="78" spans="1:7" ht="29.25" customHeight="1">
      <c r="A78" s="39" t="s">
        <v>41</v>
      </c>
      <c r="B78" s="279" t="s">
        <v>83</v>
      </c>
      <c r="C78" s="279"/>
      <c r="D78" s="75">
        <f t="shared" ref="D78:E78" si="30">(D33/30/12*7)*8%</f>
        <v>2.5974666666666661</v>
      </c>
      <c r="E78" s="75">
        <f t="shared" si="30"/>
        <v>2.6795999999999998</v>
      </c>
      <c r="F78" s="75">
        <f t="shared" ref="F78:G78" si="31">(F33/30/12*7)*8%</f>
        <v>2.549555555555556</v>
      </c>
      <c r="G78" s="192">
        <f t="shared" si="31"/>
        <v>2.6795999999999998</v>
      </c>
    </row>
    <row r="79" spans="1:7" ht="24.75" customHeight="1">
      <c r="A79" s="39" t="s">
        <v>43</v>
      </c>
      <c r="B79" s="279" t="s">
        <v>84</v>
      </c>
      <c r="C79" s="279"/>
      <c r="D79" s="74">
        <f t="shared" ref="D79:E79" si="32">D33*4%</f>
        <v>66.792000000000002</v>
      </c>
      <c r="E79" s="74">
        <f t="shared" si="32"/>
        <v>68.903999999999996</v>
      </c>
      <c r="F79" s="74">
        <f t="shared" ref="F79:G79" si="33">F33*4%</f>
        <v>65.56</v>
      </c>
      <c r="G79" s="190">
        <f t="shared" si="33"/>
        <v>68.903999999999996</v>
      </c>
    </row>
    <row r="80" spans="1:7" ht="15.75" thickBot="1">
      <c r="A80" s="48"/>
      <c r="B80" s="285" t="s">
        <v>69</v>
      </c>
      <c r="C80" s="285"/>
      <c r="D80" s="102">
        <f t="shared" ref="D80:E80" si="34">SUM(D74:D79)</f>
        <v>112.60193203</v>
      </c>
      <c r="E80" s="102">
        <f t="shared" si="34"/>
        <v>116.10674410999999</v>
      </c>
      <c r="F80" s="102">
        <f t="shared" ref="F80:G80" si="35">SUM(F74:F79)</f>
        <v>110.55745831666667</v>
      </c>
      <c r="G80" s="187">
        <f t="shared" si="35"/>
        <v>116.10674410999999</v>
      </c>
    </row>
    <row r="81" spans="1:7" ht="15.75" thickBot="1">
      <c r="A81" s="12"/>
      <c r="B81" s="12"/>
      <c r="C81" s="12"/>
      <c r="D81" s="12"/>
      <c r="E81" s="13"/>
      <c r="F81" s="13"/>
      <c r="G81" s="13"/>
    </row>
    <row r="82" spans="1:7">
      <c r="A82" s="271" t="s">
        <v>85</v>
      </c>
      <c r="B82" s="272"/>
      <c r="C82" s="272"/>
      <c r="D82" s="34" t="s">
        <v>189</v>
      </c>
      <c r="E82" s="35" t="s">
        <v>309</v>
      </c>
      <c r="F82" s="35" t="s">
        <v>190</v>
      </c>
      <c r="G82" s="178" t="s">
        <v>158</v>
      </c>
    </row>
    <row r="83" spans="1:7">
      <c r="A83" s="36" t="s">
        <v>86</v>
      </c>
      <c r="B83" s="274" t="s">
        <v>147</v>
      </c>
      <c r="C83" s="274"/>
      <c r="D83" s="58" t="s">
        <v>33</v>
      </c>
      <c r="E83" s="58" t="s">
        <v>33</v>
      </c>
      <c r="F83" s="58" t="s">
        <v>33</v>
      </c>
      <c r="G83" s="185" t="s">
        <v>33</v>
      </c>
    </row>
    <row r="84" spans="1:7">
      <c r="A84" s="39" t="s">
        <v>34</v>
      </c>
      <c r="B84" s="286" t="s">
        <v>88</v>
      </c>
      <c r="C84" s="286"/>
      <c r="D84" s="74">
        <v>0</v>
      </c>
      <c r="E84" s="74">
        <v>0</v>
      </c>
      <c r="F84" s="74">
        <v>0</v>
      </c>
      <c r="G84" s="190">
        <v>0</v>
      </c>
    </row>
    <row r="85" spans="1:7">
      <c r="A85" s="39" t="s">
        <v>36</v>
      </c>
      <c r="B85" s="286" t="s">
        <v>89</v>
      </c>
      <c r="C85" s="286"/>
      <c r="D85" s="74">
        <f>(((D33+D70+D80+D88+D108)-(D57-D58-D106))/30*2.96)/12</f>
        <v>27.462840706697282</v>
      </c>
      <c r="E85" s="74">
        <f t="shared" ref="E85:G85" si="36">(((E33+E70+E80+E88+E108)-(E57-E58-E106))/30*2.96)/12</f>
        <v>27.898527850071009</v>
      </c>
      <c r="F85" s="74">
        <f t="shared" si="36"/>
        <v>26.947127973812169</v>
      </c>
      <c r="G85" s="190">
        <f t="shared" si="36"/>
        <v>27.898527850071009</v>
      </c>
    </row>
    <row r="86" spans="1:7">
      <c r="A86" s="39" t="s">
        <v>38</v>
      </c>
      <c r="B86" s="286" t="s">
        <v>90</v>
      </c>
      <c r="C86" s="286"/>
      <c r="D86" s="74">
        <f>(((D33+D70+D80+D88+D108)-(D57-D58-D106))/30*5*1.5%)/12</f>
        <v>0.69584900439266761</v>
      </c>
      <c r="E86" s="74">
        <f t="shared" ref="E86:G86" si="37">(((E33+E70+E80+E88+E108)-(E57-E58-E106))/30*5*1.5%)/12</f>
        <v>0.70688837457950182</v>
      </c>
      <c r="F86" s="74">
        <f t="shared" si="37"/>
        <v>0.6827819587959163</v>
      </c>
      <c r="G86" s="190">
        <f t="shared" si="37"/>
        <v>0.70688837457950182</v>
      </c>
    </row>
    <row r="87" spans="1:7">
      <c r="A87" s="39" t="s">
        <v>39</v>
      </c>
      <c r="B87" s="286" t="s">
        <v>91</v>
      </c>
      <c r="C87" s="286"/>
      <c r="D87" s="74">
        <f>(((D33+D70+D80+D88+D108)-(D57-D58-D106))/30*15*0.78%)/12</f>
        <v>1.0855244468525618</v>
      </c>
      <c r="E87" s="74">
        <f t="shared" ref="E87:G87" si="38">(((E33+E70+E80+E88+E108)-(E57-E58-E106))/30*15*0.78%)/12</f>
        <v>1.1027458643440231</v>
      </c>
      <c r="F87" s="74">
        <f t="shared" si="38"/>
        <v>1.0651398557216296</v>
      </c>
      <c r="G87" s="190">
        <f t="shared" si="38"/>
        <v>1.1027458643440231</v>
      </c>
    </row>
    <row r="88" spans="1:7">
      <c r="A88" s="39" t="s">
        <v>41</v>
      </c>
      <c r="B88" s="286" t="s">
        <v>92</v>
      </c>
      <c r="C88" s="286"/>
      <c r="D88" s="74">
        <f t="shared" ref="D88:E88" si="39">(((D38*3.95/12)+(D59*3.95*1.02%))/12+((D33+D37)*39.8%*3.95)*1.02%/12)</f>
        <v>8.1596346397935662</v>
      </c>
      <c r="E88" s="74">
        <f t="shared" si="39"/>
        <v>8.4113161232653013</v>
      </c>
      <c r="F88" s="74">
        <f t="shared" ref="F88:G88" si="40">(((F38*3.95/12)+(F59*3.95*1.02%))/12+((F33+F37)*39.8%*3.95)*1.02%/12)</f>
        <v>8.0128204411017219</v>
      </c>
      <c r="G88" s="190">
        <f t="shared" si="40"/>
        <v>8.4113161232653013</v>
      </c>
    </row>
    <row r="89" spans="1:7">
      <c r="A89" s="39" t="s">
        <v>43</v>
      </c>
      <c r="B89" s="286" t="s">
        <v>93</v>
      </c>
      <c r="C89" s="286"/>
      <c r="D89" s="74">
        <v>0</v>
      </c>
      <c r="E89" s="74">
        <v>0</v>
      </c>
      <c r="F89" s="74">
        <v>0</v>
      </c>
      <c r="G89" s="190">
        <v>0</v>
      </c>
    </row>
    <row r="90" spans="1:7" ht="15.75" thickBot="1">
      <c r="A90" s="48"/>
      <c r="B90" s="285" t="s">
        <v>69</v>
      </c>
      <c r="C90" s="285"/>
      <c r="D90" s="102">
        <f t="shared" ref="D90:E90" si="41">SUM(D84:D89)</f>
        <v>37.403848797736075</v>
      </c>
      <c r="E90" s="102">
        <f t="shared" si="41"/>
        <v>38.119478212259835</v>
      </c>
      <c r="F90" s="102">
        <f t="shared" ref="F90:G90" si="42">SUM(F84:F89)</f>
        <v>36.707870229431435</v>
      </c>
      <c r="G90" s="187">
        <f t="shared" si="42"/>
        <v>38.119478212259835</v>
      </c>
    </row>
    <row r="91" spans="1:7" ht="15.75" thickBot="1">
      <c r="A91" s="64"/>
      <c r="B91" s="64"/>
      <c r="C91" s="64"/>
      <c r="D91" s="12"/>
      <c r="E91" s="13"/>
      <c r="F91" s="13"/>
      <c r="G91" s="13"/>
    </row>
    <row r="92" spans="1:7">
      <c r="A92" s="320" t="s">
        <v>94</v>
      </c>
      <c r="B92" s="321"/>
      <c r="C92" s="322"/>
      <c r="D92" s="34" t="s">
        <v>189</v>
      </c>
      <c r="E92" s="35" t="s">
        <v>309</v>
      </c>
      <c r="F92" s="35" t="s">
        <v>190</v>
      </c>
      <c r="G92" s="178" t="s">
        <v>158</v>
      </c>
    </row>
    <row r="93" spans="1:7">
      <c r="A93" s="198" t="s">
        <v>95</v>
      </c>
      <c r="B93" s="287" t="s">
        <v>96</v>
      </c>
      <c r="C93" s="288"/>
      <c r="D93" s="77" t="s">
        <v>33</v>
      </c>
      <c r="E93" s="77" t="s">
        <v>33</v>
      </c>
      <c r="F93" s="77" t="s">
        <v>33</v>
      </c>
      <c r="G93" s="199" t="s">
        <v>33</v>
      </c>
    </row>
    <row r="94" spans="1:7">
      <c r="A94" s="200" t="s">
        <v>34</v>
      </c>
      <c r="B94" s="289" t="s">
        <v>97</v>
      </c>
      <c r="C94" s="290"/>
      <c r="D94" s="79">
        <v>0</v>
      </c>
      <c r="E94" s="79">
        <v>0</v>
      </c>
      <c r="F94" s="79">
        <v>0</v>
      </c>
      <c r="G94" s="201">
        <v>0</v>
      </c>
    </row>
    <row r="95" spans="1:7" ht="15.75" thickBot="1">
      <c r="A95" s="202"/>
      <c r="B95" s="318" t="s">
        <v>69</v>
      </c>
      <c r="C95" s="319"/>
      <c r="D95" s="203">
        <v>0</v>
      </c>
      <c r="E95" s="203">
        <v>0</v>
      </c>
      <c r="F95" s="203">
        <v>0</v>
      </c>
      <c r="G95" s="204">
        <v>0</v>
      </c>
    </row>
    <row r="96" spans="1:7" ht="15.75" thickBot="1">
      <c r="A96" s="64"/>
      <c r="B96" s="64"/>
      <c r="C96" s="64"/>
      <c r="D96" s="12"/>
      <c r="E96" s="13"/>
      <c r="F96" s="13"/>
      <c r="G96" s="13"/>
    </row>
    <row r="97" spans="1:7">
      <c r="A97" s="271" t="s">
        <v>98</v>
      </c>
      <c r="B97" s="272"/>
      <c r="C97" s="272"/>
      <c r="D97" s="34" t="s">
        <v>189</v>
      </c>
      <c r="E97" s="35" t="s">
        <v>309</v>
      </c>
      <c r="F97" s="35" t="s">
        <v>190</v>
      </c>
      <c r="G97" s="178" t="s">
        <v>158</v>
      </c>
    </row>
    <row r="98" spans="1:7">
      <c r="A98" s="103">
        <v>4</v>
      </c>
      <c r="B98" s="250" t="s">
        <v>99</v>
      </c>
      <c r="C98" s="250"/>
      <c r="D98" s="71" t="s">
        <v>50</v>
      </c>
      <c r="E98" s="71" t="s">
        <v>50</v>
      </c>
      <c r="F98" s="71" t="s">
        <v>50</v>
      </c>
      <c r="G98" s="180" t="s">
        <v>50</v>
      </c>
    </row>
    <row r="99" spans="1:7">
      <c r="A99" s="100" t="s">
        <v>86</v>
      </c>
      <c r="B99" s="251" t="s">
        <v>87</v>
      </c>
      <c r="C99" s="251"/>
      <c r="D99" s="68">
        <f>D90</f>
        <v>37.403848797736075</v>
      </c>
      <c r="E99" s="68">
        <f t="shared" ref="E99:F99" si="43">E90</f>
        <v>38.119478212259835</v>
      </c>
      <c r="F99" s="68">
        <f t="shared" si="43"/>
        <v>36.707870229431435</v>
      </c>
      <c r="G99" s="181">
        <f t="shared" ref="G99" si="44">G90</f>
        <v>38.119478212259835</v>
      </c>
    </row>
    <row r="100" spans="1:7">
      <c r="A100" s="100" t="s">
        <v>95</v>
      </c>
      <c r="B100" s="251" t="s">
        <v>96</v>
      </c>
      <c r="C100" s="251"/>
      <c r="D100" s="68">
        <v>0</v>
      </c>
      <c r="E100" s="68">
        <v>0</v>
      </c>
      <c r="F100" s="68">
        <v>0</v>
      </c>
      <c r="G100" s="181">
        <v>0</v>
      </c>
    </row>
    <row r="101" spans="1:7" ht="15.75" thickBot="1">
      <c r="A101" s="48"/>
      <c r="B101" s="281" t="s">
        <v>53</v>
      </c>
      <c r="C101" s="281"/>
      <c r="D101" s="49">
        <f>SUM(D99:D100)</f>
        <v>37.403848797736075</v>
      </c>
      <c r="E101" s="49">
        <f t="shared" ref="E101:F101" si="45">SUM(E99:E100)</f>
        <v>38.119478212259835</v>
      </c>
      <c r="F101" s="49">
        <f t="shared" si="45"/>
        <v>36.707870229431435</v>
      </c>
      <c r="G101" s="50">
        <f t="shared" ref="G101" si="46">SUM(G99:G100)</f>
        <v>38.119478212259835</v>
      </c>
    </row>
    <row r="102" spans="1:7" ht="15.75" thickBot="1">
      <c r="A102" s="12"/>
      <c r="B102" s="12"/>
      <c r="C102" s="12"/>
      <c r="D102" s="12"/>
      <c r="E102" s="12"/>
      <c r="F102" s="12"/>
      <c r="G102" s="12"/>
    </row>
    <row r="103" spans="1:7">
      <c r="A103" s="271" t="s">
        <v>100</v>
      </c>
      <c r="B103" s="272"/>
      <c r="C103" s="272"/>
      <c r="D103" s="34" t="s">
        <v>189</v>
      </c>
      <c r="E103" s="35" t="s">
        <v>309</v>
      </c>
      <c r="F103" s="35" t="s">
        <v>190</v>
      </c>
      <c r="G103" s="178" t="s">
        <v>158</v>
      </c>
    </row>
    <row r="104" spans="1:7">
      <c r="A104" s="104">
        <v>5</v>
      </c>
      <c r="B104" s="250" t="s">
        <v>101</v>
      </c>
      <c r="C104" s="250"/>
      <c r="D104" s="37" t="s">
        <v>33</v>
      </c>
      <c r="E104" s="37" t="s">
        <v>33</v>
      </c>
      <c r="F104" s="37" t="s">
        <v>33</v>
      </c>
      <c r="G104" s="38" t="s">
        <v>33</v>
      </c>
    </row>
    <row r="105" spans="1:7">
      <c r="A105" s="105" t="s">
        <v>34</v>
      </c>
      <c r="B105" s="251" t="s">
        <v>148</v>
      </c>
      <c r="C105" s="251"/>
      <c r="D105" s="84">
        <f>'Anexo III-B Uniformes'!I81</f>
        <v>78.093750000000014</v>
      </c>
      <c r="E105" s="84">
        <f>'Anexo III-B Uniformes'!I15</f>
        <v>38.595833333333339</v>
      </c>
      <c r="F105" s="84">
        <f>'Anexo III-B Uniformes'!I98</f>
        <v>69.322619047619042</v>
      </c>
      <c r="G105" s="182">
        <f>'Anexo III-B Uniformes'!I15</f>
        <v>38.595833333333339</v>
      </c>
    </row>
    <row r="106" spans="1:7">
      <c r="A106" s="105" t="s">
        <v>36</v>
      </c>
      <c r="B106" s="251" t="s">
        <v>102</v>
      </c>
      <c r="C106" s="251"/>
      <c r="D106" s="86">
        <f>'Anexo III-A Equip.'!F12</f>
        <v>0.31633554083885207</v>
      </c>
      <c r="E106" s="86">
        <f>'Anexo III-A Equip.'!F12</f>
        <v>0.31633554083885207</v>
      </c>
      <c r="F106" s="86">
        <f>'Anexo III-A Equip.'!F12</f>
        <v>0.31633554083885207</v>
      </c>
      <c r="G106" s="183">
        <f>'Anexo III-A Equip.'!F12</f>
        <v>0.31633554083885207</v>
      </c>
    </row>
    <row r="107" spans="1:7">
      <c r="A107" s="105" t="s">
        <v>38</v>
      </c>
      <c r="B107" s="251" t="s">
        <v>44</v>
      </c>
      <c r="C107" s="251"/>
      <c r="D107" s="86"/>
      <c r="E107" s="86"/>
      <c r="F107" s="86"/>
      <c r="G107" s="183"/>
    </row>
    <row r="108" spans="1:7" ht="15.75" thickBot="1">
      <c r="A108" s="106"/>
      <c r="B108" s="281" t="s">
        <v>103</v>
      </c>
      <c r="C108" s="281"/>
      <c r="D108" s="107">
        <f>SUM(D105:D107)</f>
        <v>78.410085540838864</v>
      </c>
      <c r="E108" s="107">
        <f>SUM(E105:E107)</f>
        <v>38.912168874172188</v>
      </c>
      <c r="F108" s="107">
        <f>SUM(F105:F107)</f>
        <v>69.638954588457892</v>
      </c>
      <c r="G108" s="184">
        <f>SUM(G105:G107)</f>
        <v>38.912168874172188</v>
      </c>
    </row>
    <row r="109" spans="1:7" ht="15.75" thickBot="1">
      <c r="A109" s="14"/>
      <c r="B109" s="87"/>
      <c r="C109" s="88"/>
      <c r="D109" s="88"/>
      <c r="E109" s="12"/>
      <c r="F109" s="12"/>
      <c r="G109" s="12"/>
    </row>
    <row r="110" spans="1:7">
      <c r="A110" s="271" t="s">
        <v>104</v>
      </c>
      <c r="B110" s="272"/>
      <c r="C110" s="34"/>
      <c r="D110" s="34" t="s">
        <v>189</v>
      </c>
      <c r="E110" s="35" t="s">
        <v>309</v>
      </c>
      <c r="F110" s="35" t="s">
        <v>190</v>
      </c>
      <c r="G110" s="178" t="s">
        <v>158</v>
      </c>
    </row>
    <row r="111" spans="1:7">
      <c r="A111" s="104">
        <v>6</v>
      </c>
      <c r="B111" s="56" t="s">
        <v>105</v>
      </c>
      <c r="C111" s="57" t="s">
        <v>58</v>
      </c>
      <c r="D111" s="58" t="s">
        <v>33</v>
      </c>
      <c r="E111" s="58" t="s">
        <v>33</v>
      </c>
      <c r="F111" s="58" t="s">
        <v>33</v>
      </c>
      <c r="G111" s="185" t="s">
        <v>33</v>
      </c>
    </row>
    <row r="112" spans="1:7">
      <c r="A112" s="105" t="s">
        <v>34</v>
      </c>
      <c r="B112" s="59" t="s">
        <v>106</v>
      </c>
      <c r="C112" s="52">
        <v>4.8</v>
      </c>
      <c r="D112" s="54">
        <f>(D129)*$C$112/100</f>
        <v>174.74299678569159</v>
      </c>
      <c r="E112" s="54">
        <f t="shared" ref="E112:F112" si="47">(E129)*$C$112/100</f>
        <v>177.1566731774287</v>
      </c>
      <c r="F112" s="54">
        <f t="shared" si="47"/>
        <v>171.79469359045871</v>
      </c>
      <c r="G112" s="186">
        <f t="shared" ref="G112" si="48">(G129)*$C$112/100</f>
        <v>177.1566731774287</v>
      </c>
    </row>
    <row r="113" spans="1:7">
      <c r="A113" s="105" t="s">
        <v>36</v>
      </c>
      <c r="B113" s="59" t="s">
        <v>107</v>
      </c>
      <c r="C113" s="52">
        <v>3.92</v>
      </c>
      <c r="D113" s="54">
        <f>(D129+D112)*$C$113/100</f>
        <v>149.55670618231389</v>
      </c>
      <c r="E113" s="54">
        <f t="shared" ref="E113:F113" si="49">(E129+E112)*$C$113/100</f>
        <v>151.62249135012198</v>
      </c>
      <c r="F113" s="54">
        <f t="shared" si="49"/>
        <v>147.03335175428728</v>
      </c>
      <c r="G113" s="186">
        <f t="shared" ref="G113" si="50">(G129+G112)*$C$113/100</f>
        <v>151.62249135012198</v>
      </c>
    </row>
    <row r="114" spans="1:7">
      <c r="A114" s="105" t="s">
        <v>38</v>
      </c>
      <c r="B114" s="59" t="s">
        <v>108</v>
      </c>
      <c r="C114" s="52"/>
      <c r="D114" s="54"/>
      <c r="E114" s="54"/>
      <c r="F114" s="54"/>
      <c r="G114" s="186"/>
    </row>
    <row r="115" spans="1:7">
      <c r="A115" s="105"/>
      <c r="B115" s="59" t="s">
        <v>109</v>
      </c>
      <c r="C115" s="52">
        <f>3+0.65</f>
        <v>3.65</v>
      </c>
      <c r="D115" s="54">
        <f>((D129+D112+D113)/(1-($C$115+$C$117)/100))*$C$115/100</f>
        <v>158.41754383957507</v>
      </c>
      <c r="E115" s="54">
        <f t="shared" ref="E115:F115" si="51">((E129+E112+E113)/(1-($C$115+$C$117)/100))*$C$115/100</f>
        <v>160.60572129238318</v>
      </c>
      <c r="F115" s="54">
        <f t="shared" si="51"/>
        <v>155.74468736306645</v>
      </c>
      <c r="G115" s="186">
        <f t="shared" ref="G115" si="52">((G129+G112+G113)/(1-($C$115+$C$117)/100))*$C$115/100</f>
        <v>160.60572129238318</v>
      </c>
    </row>
    <row r="116" spans="1:7">
      <c r="A116" s="105"/>
      <c r="B116" s="59" t="s">
        <v>110</v>
      </c>
      <c r="C116" s="52"/>
      <c r="D116" s="54"/>
      <c r="E116" s="54"/>
      <c r="F116" s="54"/>
      <c r="G116" s="186"/>
    </row>
    <row r="117" spans="1:7">
      <c r="A117" s="105"/>
      <c r="B117" s="59" t="s">
        <v>111</v>
      </c>
      <c r="C117" s="83">
        <v>5</v>
      </c>
      <c r="D117" s="54">
        <f>((D129+D112+D113)/(1-($C$115+$C$117)/100))*$C$117/100</f>
        <v>217.01033402681517</v>
      </c>
      <c r="E117" s="54">
        <f t="shared" ref="E117:F117" si="53">((E129+E112+E113)/(1-($C$115+$C$117)/100))*$C$117/100</f>
        <v>220.00783738682625</v>
      </c>
      <c r="F117" s="54">
        <f t="shared" si="53"/>
        <v>213.34888679872114</v>
      </c>
      <c r="G117" s="186">
        <f t="shared" ref="G117" si="54">((G129+G112+G113)/(1-($C$115+$C$117)/100))*$C$117/100</f>
        <v>220.00783738682625</v>
      </c>
    </row>
    <row r="118" spans="1:7">
      <c r="A118" s="105"/>
      <c r="B118" s="59" t="s">
        <v>112</v>
      </c>
      <c r="C118" s="52"/>
      <c r="D118" s="54"/>
      <c r="E118" s="54"/>
      <c r="F118" s="54"/>
      <c r="G118" s="186"/>
    </row>
    <row r="119" spans="1:7" ht="15.75" thickBot="1">
      <c r="A119" s="108"/>
      <c r="B119" s="109" t="s">
        <v>69</v>
      </c>
      <c r="C119" s="94">
        <f t="shared" ref="C119:G119" si="55">SUM(C112:C118)</f>
        <v>17.369999999999997</v>
      </c>
      <c r="D119" s="102">
        <f t="shared" si="55"/>
        <v>699.72758083439567</v>
      </c>
      <c r="E119" s="102">
        <f t="shared" si="55"/>
        <v>709.39272320676014</v>
      </c>
      <c r="F119" s="102">
        <f t="shared" si="55"/>
        <v>687.92161950653349</v>
      </c>
      <c r="G119" s="187">
        <f t="shared" si="55"/>
        <v>709.39272320676014</v>
      </c>
    </row>
    <row r="120" spans="1:7">
      <c r="A120" s="14"/>
      <c r="B120" s="87"/>
      <c r="C120" s="88"/>
      <c r="D120" s="88"/>
      <c r="E120" s="12"/>
    </row>
    <row r="121" spans="1:7" ht="15.75" thickBot="1">
      <c r="A121" s="298" t="s">
        <v>149</v>
      </c>
      <c r="B121" s="298"/>
      <c r="C121" s="298"/>
      <c r="D121" s="298"/>
      <c r="E121" s="298"/>
    </row>
    <row r="122" spans="1:7">
      <c r="A122" s="296" t="s">
        <v>150</v>
      </c>
      <c r="B122" s="297"/>
      <c r="C122" s="297"/>
      <c r="D122" s="34" t="s">
        <v>189</v>
      </c>
      <c r="E122" s="35" t="s">
        <v>309</v>
      </c>
      <c r="F122" s="35" t="s">
        <v>190</v>
      </c>
      <c r="G122" s="178" t="s">
        <v>158</v>
      </c>
    </row>
    <row r="123" spans="1:7">
      <c r="A123" s="110"/>
      <c r="B123" s="274" t="s">
        <v>113</v>
      </c>
      <c r="C123" s="274"/>
      <c r="D123" s="58" t="s">
        <v>33</v>
      </c>
      <c r="E123" s="58" t="s">
        <v>33</v>
      </c>
      <c r="F123" s="58" t="s">
        <v>33</v>
      </c>
      <c r="G123" s="185" t="s">
        <v>33</v>
      </c>
    </row>
    <row r="124" spans="1:7">
      <c r="A124" s="110" t="s">
        <v>34</v>
      </c>
      <c r="B124" s="279" t="s">
        <v>114</v>
      </c>
      <c r="C124" s="279"/>
      <c r="D124" s="54">
        <f>D33</f>
        <v>1669.8</v>
      </c>
      <c r="E124" s="54">
        <f>E33</f>
        <v>1722.6</v>
      </c>
      <c r="F124" s="54">
        <f>F33</f>
        <v>1639</v>
      </c>
      <c r="G124" s="186">
        <f>G33</f>
        <v>1722.6</v>
      </c>
    </row>
    <row r="125" spans="1:7">
      <c r="A125" s="110" t="s">
        <v>36</v>
      </c>
      <c r="B125" s="279" t="s">
        <v>115</v>
      </c>
      <c r="C125" s="279"/>
      <c r="D125" s="54">
        <f>D70</f>
        <v>1742.2632333333333</v>
      </c>
      <c r="E125" s="54">
        <f>E70</f>
        <v>1775.0256333333332</v>
      </c>
      <c r="F125" s="54">
        <f>F70</f>
        <v>1723.1518333333333</v>
      </c>
      <c r="G125" s="186">
        <f>G70</f>
        <v>1775.0256333333332</v>
      </c>
    </row>
    <row r="126" spans="1:7">
      <c r="A126" s="110" t="s">
        <v>38</v>
      </c>
      <c r="B126" s="279" t="s">
        <v>116</v>
      </c>
      <c r="C126" s="279"/>
      <c r="D126" s="54">
        <f>D80</f>
        <v>112.60193203</v>
      </c>
      <c r="E126" s="54">
        <f>E80</f>
        <v>116.10674410999999</v>
      </c>
      <c r="F126" s="54">
        <f>F80</f>
        <v>110.55745831666667</v>
      </c>
      <c r="G126" s="186">
        <f>G80</f>
        <v>116.10674410999999</v>
      </c>
    </row>
    <row r="127" spans="1:7">
      <c r="A127" s="110" t="s">
        <v>39</v>
      </c>
      <c r="B127" s="279" t="s">
        <v>117</v>
      </c>
      <c r="C127" s="279"/>
      <c r="D127" s="54">
        <f>D101</f>
        <v>37.403848797736075</v>
      </c>
      <c r="E127" s="54">
        <f>E101</f>
        <v>38.119478212259835</v>
      </c>
      <c r="F127" s="54">
        <f>F101</f>
        <v>36.707870229431435</v>
      </c>
      <c r="G127" s="186">
        <f>G101</f>
        <v>38.119478212259835</v>
      </c>
    </row>
    <row r="128" spans="1:7">
      <c r="A128" s="110" t="s">
        <v>41</v>
      </c>
      <c r="B128" s="279" t="s">
        <v>118</v>
      </c>
      <c r="C128" s="279"/>
      <c r="D128" s="54">
        <f>D108</f>
        <v>78.410085540838864</v>
      </c>
      <c r="E128" s="54">
        <f t="shared" ref="E128:G128" si="56">E108</f>
        <v>38.912168874172188</v>
      </c>
      <c r="F128" s="54">
        <f t="shared" si="56"/>
        <v>69.638954588457892</v>
      </c>
      <c r="G128" s="186">
        <f t="shared" si="56"/>
        <v>38.912168874172188</v>
      </c>
    </row>
    <row r="129" spans="1:7">
      <c r="A129" s="110"/>
      <c r="B129" s="274" t="s">
        <v>119</v>
      </c>
      <c r="C129" s="274"/>
      <c r="D129" s="55">
        <f>SUM(D124:D128)</f>
        <v>3640.4790997019081</v>
      </c>
      <c r="E129" s="55">
        <f t="shared" ref="E129:G129" si="57">SUM(E124:E128)</f>
        <v>3690.7640245297648</v>
      </c>
      <c r="F129" s="55">
        <f t="shared" si="57"/>
        <v>3579.0561164678898</v>
      </c>
      <c r="G129" s="188">
        <f t="shared" si="57"/>
        <v>3690.7640245297648</v>
      </c>
    </row>
    <row r="130" spans="1:7">
      <c r="A130" s="110" t="s">
        <v>43</v>
      </c>
      <c r="B130" s="279" t="s">
        <v>120</v>
      </c>
      <c r="C130" s="279"/>
      <c r="D130" s="54">
        <f>D119</f>
        <v>699.72758083439567</v>
      </c>
      <c r="E130" s="54">
        <f t="shared" ref="E130:G130" si="58">E119</f>
        <v>709.39272320676014</v>
      </c>
      <c r="F130" s="54">
        <f t="shared" si="58"/>
        <v>687.92161950653349</v>
      </c>
      <c r="G130" s="186">
        <f t="shared" si="58"/>
        <v>709.39272320676014</v>
      </c>
    </row>
    <row r="131" spans="1:7">
      <c r="A131" s="110"/>
      <c r="B131" s="274" t="s">
        <v>121</v>
      </c>
      <c r="C131" s="274"/>
      <c r="D131" s="55">
        <f>SUM(D129:D130)</f>
        <v>4340.2066805363038</v>
      </c>
      <c r="E131" s="55">
        <f t="shared" ref="E131:G131" si="59">SUM(E129:E130)</f>
        <v>4400.1567477365252</v>
      </c>
      <c r="F131" s="55">
        <f t="shared" si="59"/>
        <v>4266.977735974423</v>
      </c>
      <c r="G131" s="188">
        <f t="shared" si="59"/>
        <v>4400.1567477365252</v>
      </c>
    </row>
    <row r="132" spans="1:7" ht="15.75" thickBot="1">
      <c r="A132" s="48"/>
      <c r="B132" s="285" t="s">
        <v>122</v>
      </c>
      <c r="C132" s="285"/>
      <c r="D132" s="111">
        <f>D131/D33</f>
        <v>2.5992374419309523</v>
      </c>
      <c r="E132" s="111">
        <f>E131/E33</f>
        <v>2.5543694112019768</v>
      </c>
      <c r="F132" s="111">
        <f>F131/F33</f>
        <v>2.6034031336024546</v>
      </c>
      <c r="G132" s="189">
        <f>G131/G33</f>
        <v>2.5543694112019768</v>
      </c>
    </row>
    <row r="133" spans="1:7">
      <c r="A133" s="12"/>
      <c r="B133" s="89"/>
      <c r="C133" s="12"/>
      <c r="D133" s="12"/>
      <c r="E133" s="12"/>
    </row>
    <row r="134" spans="1:7" ht="15.75" thickBot="1">
      <c r="A134" s="12"/>
      <c r="B134" s="12"/>
      <c r="C134" s="12"/>
      <c r="D134" s="12"/>
      <c r="E134" s="12"/>
    </row>
    <row r="135" spans="1:7">
      <c r="A135" s="271" t="s">
        <v>123</v>
      </c>
      <c r="B135" s="272"/>
      <c r="C135" s="34"/>
      <c r="D135" s="34" t="s">
        <v>189</v>
      </c>
      <c r="E135" s="35" t="s">
        <v>309</v>
      </c>
      <c r="F135" s="35" t="s">
        <v>190</v>
      </c>
      <c r="G135" s="178" t="s">
        <v>158</v>
      </c>
    </row>
    <row r="136" spans="1:7">
      <c r="A136" s="104">
        <v>6</v>
      </c>
      <c r="B136" s="56" t="s">
        <v>105</v>
      </c>
      <c r="C136" s="57" t="s">
        <v>58</v>
      </c>
      <c r="D136" s="58" t="s">
        <v>33</v>
      </c>
      <c r="E136" s="58" t="s">
        <v>33</v>
      </c>
      <c r="F136" s="58" t="s">
        <v>33</v>
      </c>
      <c r="G136" s="185" t="s">
        <v>33</v>
      </c>
    </row>
    <row r="137" spans="1:7">
      <c r="A137" s="105" t="s">
        <v>34</v>
      </c>
      <c r="B137" s="59" t="s">
        <v>106</v>
      </c>
      <c r="C137" s="52">
        <v>4.8</v>
      </c>
      <c r="D137" s="54">
        <f>(D154)*$C$137/100</f>
        <v>174.74299678569159</v>
      </c>
      <c r="E137" s="54">
        <f t="shared" ref="E137:G137" si="60">(E154)*$C$137/100</f>
        <v>177.1566731774287</v>
      </c>
      <c r="F137" s="54">
        <f t="shared" si="60"/>
        <v>171.79469359045871</v>
      </c>
      <c r="G137" s="186">
        <f t="shared" si="60"/>
        <v>177.1566731774287</v>
      </c>
    </row>
    <row r="138" spans="1:7">
      <c r="A138" s="105" t="s">
        <v>36</v>
      </c>
      <c r="B138" s="59" t="s">
        <v>107</v>
      </c>
      <c r="C138" s="52">
        <v>3.92</v>
      </c>
      <c r="D138" s="54">
        <f>(D154+D137)*$C$138/100</f>
        <v>149.55670618231389</v>
      </c>
      <c r="E138" s="54">
        <f t="shared" ref="E138:G138" si="61">(E154+E137)*$C$138/100</f>
        <v>151.62249135012198</v>
      </c>
      <c r="F138" s="54">
        <f t="shared" si="61"/>
        <v>147.03335175428728</v>
      </c>
      <c r="G138" s="186">
        <f t="shared" si="61"/>
        <v>151.62249135012198</v>
      </c>
    </row>
    <row r="139" spans="1:7">
      <c r="A139" s="105" t="s">
        <v>38</v>
      </c>
      <c r="B139" s="59" t="s">
        <v>108</v>
      </c>
      <c r="C139" s="52"/>
      <c r="D139" s="54"/>
      <c r="E139" s="54"/>
      <c r="F139" s="54"/>
      <c r="G139" s="186"/>
    </row>
    <row r="140" spans="1:7">
      <c r="A140" s="105"/>
      <c r="B140" s="59" t="s">
        <v>124</v>
      </c>
      <c r="C140" s="60">
        <v>9.25</v>
      </c>
      <c r="D140" s="54">
        <f>((D154+D137+D138)/(1-($C$140+$C$142)/100))*$C$140/100</f>
        <v>427.68750932590899</v>
      </c>
      <c r="E140" s="54">
        <f t="shared" ref="E140:G140" si="62">((E154+E137+E138)/(1-($C$140+$C$142)/100))*$C$140/100</f>
        <v>433.59503788664915</v>
      </c>
      <c r="F140" s="54">
        <f t="shared" si="62"/>
        <v>420.47146935005111</v>
      </c>
      <c r="G140" s="186">
        <f t="shared" si="62"/>
        <v>433.59503788664915</v>
      </c>
    </row>
    <row r="141" spans="1:7">
      <c r="A141" s="105"/>
      <c r="B141" s="59" t="s">
        <v>110</v>
      </c>
      <c r="C141" s="52"/>
      <c r="D141" s="54"/>
      <c r="E141" s="54"/>
      <c r="F141" s="54"/>
      <c r="G141" s="186"/>
    </row>
    <row r="142" spans="1:7">
      <c r="A142" s="105"/>
      <c r="B142" s="59" t="s">
        <v>111</v>
      </c>
      <c r="C142" s="83">
        <v>5</v>
      </c>
      <c r="D142" s="54">
        <f>((D154+D137+D138)/(1-($C$140+$C$142)/100))*$C$142/100</f>
        <v>231.18243747346432</v>
      </c>
      <c r="E142" s="54">
        <f t="shared" ref="E142:G142" si="63">((E154+E137+E138)/(1-($C$140+$C$142)/100))*$C$142/100</f>
        <v>234.37569615494547</v>
      </c>
      <c r="F142" s="54">
        <f t="shared" si="63"/>
        <v>227.28187532435194</v>
      </c>
      <c r="G142" s="186">
        <f t="shared" si="63"/>
        <v>234.37569615494547</v>
      </c>
    </row>
    <row r="143" spans="1:7">
      <c r="A143" s="105"/>
      <c r="B143" s="59" t="s">
        <v>112</v>
      </c>
      <c r="C143" s="52"/>
      <c r="D143" s="54"/>
      <c r="E143" s="54"/>
      <c r="F143" s="54"/>
      <c r="G143" s="186"/>
    </row>
    <row r="144" spans="1:7" ht="15.75" thickBot="1">
      <c r="A144" s="108"/>
      <c r="B144" s="109" t="s">
        <v>69</v>
      </c>
      <c r="C144" s="94">
        <f>SUM(C137:C143)</f>
        <v>22.97</v>
      </c>
      <c r="D144" s="102">
        <f>SUM(D137:D143)</f>
        <v>983.16964976737881</v>
      </c>
      <c r="E144" s="102">
        <f t="shared" ref="E144:G144" si="64">SUM(E137:E143)</f>
        <v>996.74989856914522</v>
      </c>
      <c r="F144" s="102">
        <f t="shared" si="64"/>
        <v>966.58139001914913</v>
      </c>
      <c r="G144" s="187">
        <f t="shared" si="64"/>
        <v>996.74989856914522</v>
      </c>
    </row>
    <row r="145" spans="1:7">
      <c r="A145" s="64"/>
      <c r="B145" s="64"/>
      <c r="C145" s="64"/>
      <c r="D145" s="64"/>
      <c r="E145" s="12"/>
    </row>
    <row r="146" spans="1:7" ht="15.75" thickBot="1">
      <c r="A146" s="298" t="s">
        <v>151</v>
      </c>
      <c r="B146" s="298"/>
      <c r="C146" s="298"/>
      <c r="D146" s="298"/>
      <c r="E146" s="298"/>
    </row>
    <row r="147" spans="1:7">
      <c r="A147" s="299" t="s">
        <v>152</v>
      </c>
      <c r="B147" s="300"/>
      <c r="C147" s="300"/>
      <c r="D147" s="34" t="s">
        <v>189</v>
      </c>
      <c r="E147" s="35" t="s">
        <v>309</v>
      </c>
      <c r="F147" s="35" t="s">
        <v>190</v>
      </c>
      <c r="G147" s="178" t="s">
        <v>158</v>
      </c>
    </row>
    <row r="148" spans="1:7">
      <c r="A148" s="110"/>
      <c r="B148" s="274" t="s">
        <v>113</v>
      </c>
      <c r="C148" s="274"/>
      <c r="D148" s="58" t="s">
        <v>33</v>
      </c>
      <c r="E148" s="58" t="s">
        <v>33</v>
      </c>
      <c r="F148" s="58" t="s">
        <v>33</v>
      </c>
      <c r="G148" s="185" t="s">
        <v>33</v>
      </c>
    </row>
    <row r="149" spans="1:7">
      <c r="A149" s="110" t="s">
        <v>34</v>
      </c>
      <c r="B149" s="279" t="s">
        <v>114</v>
      </c>
      <c r="C149" s="279"/>
      <c r="D149" s="54">
        <f t="shared" ref="D149:G153" si="65">D124</f>
        <v>1669.8</v>
      </c>
      <c r="E149" s="54">
        <f t="shared" si="65"/>
        <v>1722.6</v>
      </c>
      <c r="F149" s="54">
        <f t="shared" si="65"/>
        <v>1639</v>
      </c>
      <c r="G149" s="186">
        <f t="shared" si="65"/>
        <v>1722.6</v>
      </c>
    </row>
    <row r="150" spans="1:7">
      <c r="A150" s="110" t="s">
        <v>36</v>
      </c>
      <c r="B150" s="279" t="s">
        <v>115</v>
      </c>
      <c r="C150" s="279"/>
      <c r="D150" s="54">
        <f t="shared" si="65"/>
        <v>1742.2632333333333</v>
      </c>
      <c r="E150" s="54">
        <f t="shared" si="65"/>
        <v>1775.0256333333332</v>
      </c>
      <c r="F150" s="54">
        <f t="shared" si="65"/>
        <v>1723.1518333333333</v>
      </c>
      <c r="G150" s="186">
        <f t="shared" si="65"/>
        <v>1775.0256333333332</v>
      </c>
    </row>
    <row r="151" spans="1:7">
      <c r="A151" s="110" t="s">
        <v>38</v>
      </c>
      <c r="B151" s="279" t="s">
        <v>116</v>
      </c>
      <c r="C151" s="279"/>
      <c r="D151" s="54">
        <f t="shared" si="65"/>
        <v>112.60193203</v>
      </c>
      <c r="E151" s="54">
        <f t="shared" si="65"/>
        <v>116.10674410999999</v>
      </c>
      <c r="F151" s="54">
        <f t="shared" si="65"/>
        <v>110.55745831666667</v>
      </c>
      <c r="G151" s="186">
        <f t="shared" si="65"/>
        <v>116.10674410999999</v>
      </c>
    </row>
    <row r="152" spans="1:7">
      <c r="A152" s="110" t="s">
        <v>39</v>
      </c>
      <c r="B152" s="279" t="s">
        <v>117</v>
      </c>
      <c r="C152" s="279"/>
      <c r="D152" s="54">
        <f t="shared" si="65"/>
        <v>37.403848797736075</v>
      </c>
      <c r="E152" s="54">
        <f t="shared" si="65"/>
        <v>38.119478212259835</v>
      </c>
      <c r="F152" s="54">
        <f t="shared" si="65"/>
        <v>36.707870229431435</v>
      </c>
      <c r="G152" s="186">
        <f t="shared" si="65"/>
        <v>38.119478212259835</v>
      </c>
    </row>
    <row r="153" spans="1:7">
      <c r="A153" s="110" t="s">
        <v>41</v>
      </c>
      <c r="B153" s="279" t="s">
        <v>118</v>
      </c>
      <c r="C153" s="279"/>
      <c r="D153" s="54">
        <f t="shared" si="65"/>
        <v>78.410085540838864</v>
      </c>
      <c r="E153" s="54">
        <f t="shared" si="65"/>
        <v>38.912168874172188</v>
      </c>
      <c r="F153" s="54">
        <f t="shared" si="65"/>
        <v>69.638954588457892</v>
      </c>
      <c r="G153" s="186">
        <f t="shared" si="65"/>
        <v>38.912168874172188</v>
      </c>
    </row>
    <row r="154" spans="1:7">
      <c r="A154" s="110"/>
      <c r="B154" s="274" t="s">
        <v>119</v>
      </c>
      <c r="C154" s="274"/>
      <c r="D154" s="55">
        <f>SUM(D149:D153)</f>
        <v>3640.4790997019081</v>
      </c>
      <c r="E154" s="55">
        <f t="shared" ref="E154:G154" si="66">SUM(E149:E153)</f>
        <v>3690.7640245297648</v>
      </c>
      <c r="F154" s="55">
        <f t="shared" si="66"/>
        <v>3579.0561164678898</v>
      </c>
      <c r="G154" s="188">
        <f t="shared" si="66"/>
        <v>3690.7640245297648</v>
      </c>
    </row>
    <row r="155" spans="1:7">
      <c r="A155" s="110" t="s">
        <v>43</v>
      </c>
      <c r="B155" s="279" t="s">
        <v>120</v>
      </c>
      <c r="C155" s="279"/>
      <c r="D155" s="54">
        <f>D144</f>
        <v>983.16964976737881</v>
      </c>
      <c r="E155" s="54">
        <f t="shared" ref="E155:G155" si="67">E144</f>
        <v>996.74989856914522</v>
      </c>
      <c r="F155" s="54">
        <f t="shared" si="67"/>
        <v>966.58139001914913</v>
      </c>
      <c r="G155" s="186">
        <f t="shared" si="67"/>
        <v>996.74989856914522</v>
      </c>
    </row>
    <row r="156" spans="1:7">
      <c r="A156" s="110"/>
      <c r="B156" s="274" t="s">
        <v>121</v>
      </c>
      <c r="C156" s="274"/>
      <c r="D156" s="55">
        <f>SUM(D154:D155)</f>
        <v>4623.6487494692865</v>
      </c>
      <c r="E156" s="55">
        <f t="shared" ref="E156:G156" si="68">SUM(E154:E155)</f>
        <v>4687.5139230989098</v>
      </c>
      <c r="F156" s="55">
        <f t="shared" si="68"/>
        <v>4545.637506487039</v>
      </c>
      <c r="G156" s="188">
        <f t="shared" si="68"/>
        <v>4687.5139230989098</v>
      </c>
    </row>
    <row r="157" spans="1:7" ht="15.75" thickBot="1">
      <c r="A157" s="48"/>
      <c r="B157" s="285" t="s">
        <v>122</v>
      </c>
      <c r="C157" s="285"/>
      <c r="D157" s="111">
        <f>D156/D33</f>
        <v>2.7689835605876674</v>
      </c>
      <c r="E157" s="111">
        <f>E156/E33</f>
        <v>2.7211853727498605</v>
      </c>
      <c r="F157" s="111">
        <f>F156/F33</f>
        <v>2.7734212974295538</v>
      </c>
      <c r="G157" s="189">
        <f>G156/G33</f>
        <v>2.7211853727498605</v>
      </c>
    </row>
  </sheetData>
  <mergeCells count="109">
    <mergeCell ref="B157:C157"/>
    <mergeCell ref="B152:C152"/>
    <mergeCell ref="B153:C153"/>
    <mergeCell ref="B154:C154"/>
    <mergeCell ref="B155:C155"/>
    <mergeCell ref="B156:C156"/>
    <mergeCell ref="A146:E146"/>
    <mergeCell ref="A147:C147"/>
    <mergeCell ref="B148:C148"/>
    <mergeCell ref="B149:C149"/>
    <mergeCell ref="B150:C150"/>
    <mergeCell ref="B151:C151"/>
    <mergeCell ref="B129:C129"/>
    <mergeCell ref="B130:C130"/>
    <mergeCell ref="B131:C131"/>
    <mergeCell ref="B132:C132"/>
    <mergeCell ref="A135:B135"/>
    <mergeCell ref="B123:C123"/>
    <mergeCell ref="B124:C124"/>
    <mergeCell ref="B125:C125"/>
    <mergeCell ref="B126:C126"/>
    <mergeCell ref="B127:C127"/>
    <mergeCell ref="B128:C128"/>
    <mergeCell ref="B106:C106"/>
    <mergeCell ref="B107:C107"/>
    <mergeCell ref="B108:C108"/>
    <mergeCell ref="A110:B110"/>
    <mergeCell ref="A121:E121"/>
    <mergeCell ref="A122:C122"/>
    <mergeCell ref="B100:C100"/>
    <mergeCell ref="B101:C101"/>
    <mergeCell ref="A103:C103"/>
    <mergeCell ref="B104:C104"/>
    <mergeCell ref="B105:C105"/>
    <mergeCell ref="B93:C93"/>
    <mergeCell ref="B94:C94"/>
    <mergeCell ref="B95:C95"/>
    <mergeCell ref="A97:C97"/>
    <mergeCell ref="B98:C98"/>
    <mergeCell ref="B99:C99"/>
    <mergeCell ref="B86:C86"/>
    <mergeCell ref="B87:C87"/>
    <mergeCell ref="B88:C88"/>
    <mergeCell ref="B89:C89"/>
    <mergeCell ref="B90:C90"/>
    <mergeCell ref="A92:C92"/>
    <mergeCell ref="B79:C79"/>
    <mergeCell ref="B80:C80"/>
    <mergeCell ref="A82:C82"/>
    <mergeCell ref="B83:C83"/>
    <mergeCell ref="B84:C84"/>
    <mergeCell ref="B85:C85"/>
    <mergeCell ref="B73:C73"/>
    <mergeCell ref="B74:C74"/>
    <mergeCell ref="B75:C75"/>
    <mergeCell ref="B76:C76"/>
    <mergeCell ref="B77:C77"/>
    <mergeCell ref="B78:C78"/>
    <mergeCell ref="B66:C66"/>
    <mergeCell ref="B67:C67"/>
    <mergeCell ref="B68:C68"/>
    <mergeCell ref="B69:C69"/>
    <mergeCell ref="B70:C70"/>
    <mergeCell ref="A72:C72"/>
    <mergeCell ref="B57:C57"/>
    <mergeCell ref="B58:C58"/>
    <mergeCell ref="B59:C59"/>
    <mergeCell ref="B60:C60"/>
    <mergeCell ref="B63:C63"/>
    <mergeCell ref="A65:C65"/>
    <mergeCell ref="B61:C61"/>
    <mergeCell ref="B62:C62"/>
    <mergeCell ref="B34:D34"/>
    <mergeCell ref="A35:C35"/>
    <mergeCell ref="A36:B36"/>
    <mergeCell ref="A42:C42"/>
    <mergeCell ref="A55:C55"/>
    <mergeCell ref="B56:C56"/>
    <mergeCell ref="B28:C28"/>
    <mergeCell ref="B29:C29"/>
    <mergeCell ref="B30:C30"/>
    <mergeCell ref="B31:C31"/>
    <mergeCell ref="B32:C32"/>
    <mergeCell ref="B33:C33"/>
    <mergeCell ref="A16:B16"/>
    <mergeCell ref="C16:E16"/>
    <mergeCell ref="A18:D18"/>
    <mergeCell ref="A25:C25"/>
    <mergeCell ref="B26:C26"/>
    <mergeCell ref="B27:C27"/>
    <mergeCell ref="A13:B13"/>
    <mergeCell ref="C13:E13"/>
    <mergeCell ref="A14:B14"/>
    <mergeCell ref="C14:E14"/>
    <mergeCell ref="A15:B15"/>
    <mergeCell ref="C15:E15"/>
    <mergeCell ref="A8:B8"/>
    <mergeCell ref="C8:E8"/>
    <mergeCell ref="A9:B9"/>
    <mergeCell ref="C9:E9"/>
    <mergeCell ref="A11:E11"/>
    <mergeCell ref="A12:B12"/>
    <mergeCell ref="C12:E12"/>
    <mergeCell ref="A1:E1"/>
    <mergeCell ref="A2:E2"/>
    <mergeCell ref="A4:E4"/>
    <mergeCell ref="A5:E5"/>
    <mergeCell ref="A6:E6"/>
    <mergeCell ref="A7:E7"/>
  </mergeCells>
  <pageMargins left="0.511811024" right="0.511811024" top="0.78740157499999996" bottom="0.78740157499999996" header="0.31496062000000002" footer="0.31496062000000002"/>
  <pageSetup paperSize="9" scale="91" orientation="landscape" r:id="rId1"/>
  <headerFooter>
    <oddHeader>&amp;L&amp;G&amp;C&amp;"-,Itálico"&amp;9Processo 23069.152636/2023-41
PE 16/2023&amp;R&amp;G</oddHeader>
    <oddFooter>&amp;L&amp;9&amp;A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72C1-DC34-431D-8800-3FCC7F06F6C6}">
  <sheetPr>
    <pageSetUpPr fitToPage="1"/>
  </sheetPr>
  <dimension ref="A1:G23"/>
  <sheetViews>
    <sheetView zoomScaleNormal="100" workbookViewId="0">
      <selection activeCell="A4" sqref="A4:G4"/>
    </sheetView>
  </sheetViews>
  <sheetFormatPr defaultColWidth="11.42578125" defaultRowHeight="15"/>
  <cols>
    <col min="1" max="1" width="5.140625" style="12" customWidth="1"/>
    <col min="2" max="2" width="25.7109375" style="12" customWidth="1"/>
    <col min="3" max="3" width="8" style="12" bestFit="1" customWidth="1"/>
    <col min="4" max="4" width="15" style="12" bestFit="1" customWidth="1"/>
    <col min="5" max="5" width="19.42578125" style="12" bestFit="1" customWidth="1"/>
    <col min="6" max="6" width="14.5703125" style="13" bestFit="1" customWidth="1"/>
    <col min="7" max="7" width="15.42578125" style="12" bestFit="1" customWidth="1"/>
    <col min="8" max="8" width="46" style="12" customWidth="1"/>
    <col min="9" max="9" width="17" style="12" customWidth="1"/>
    <col min="10" max="10" width="14.28515625" style="12" customWidth="1"/>
    <col min="11" max="256" width="11.42578125" style="12"/>
    <col min="257" max="257" width="5.140625" style="12" customWidth="1"/>
    <col min="258" max="258" width="57.5703125" style="12" customWidth="1"/>
    <col min="259" max="259" width="16.7109375" style="12" customWidth="1"/>
    <col min="260" max="260" width="10.28515625" style="12" bestFit="1" customWidth="1"/>
    <col min="261" max="261" width="6.85546875" style="12" bestFit="1" customWidth="1"/>
    <col min="262" max="262" width="7.85546875" style="12" bestFit="1" customWidth="1"/>
    <col min="263" max="263" width="11.42578125" style="12"/>
    <col min="264" max="264" width="46" style="12" customWidth="1"/>
    <col min="265" max="265" width="17" style="12" customWidth="1"/>
    <col min="266" max="266" width="14.28515625" style="12" customWidth="1"/>
    <col min="267" max="512" width="11.42578125" style="12"/>
    <col min="513" max="513" width="5.140625" style="12" customWidth="1"/>
    <col min="514" max="514" width="57.5703125" style="12" customWidth="1"/>
    <col min="515" max="515" width="16.7109375" style="12" customWidth="1"/>
    <col min="516" max="516" width="10.28515625" style="12" bestFit="1" customWidth="1"/>
    <col min="517" max="517" width="6.85546875" style="12" bestFit="1" customWidth="1"/>
    <col min="518" max="518" width="7.85546875" style="12" bestFit="1" customWidth="1"/>
    <col min="519" max="519" width="11.42578125" style="12"/>
    <col min="520" max="520" width="46" style="12" customWidth="1"/>
    <col min="521" max="521" width="17" style="12" customWidth="1"/>
    <col min="522" max="522" width="14.28515625" style="12" customWidth="1"/>
    <col min="523" max="768" width="11.42578125" style="12"/>
    <col min="769" max="769" width="5.140625" style="12" customWidth="1"/>
    <col min="770" max="770" width="57.5703125" style="12" customWidth="1"/>
    <col min="771" max="771" width="16.7109375" style="12" customWidth="1"/>
    <col min="772" max="772" width="10.28515625" style="12" bestFit="1" customWidth="1"/>
    <col min="773" max="773" width="6.85546875" style="12" bestFit="1" customWidth="1"/>
    <col min="774" max="774" width="7.85546875" style="12" bestFit="1" customWidth="1"/>
    <col min="775" max="775" width="11.42578125" style="12"/>
    <col min="776" max="776" width="46" style="12" customWidth="1"/>
    <col min="777" max="777" width="17" style="12" customWidth="1"/>
    <col min="778" max="778" width="14.28515625" style="12" customWidth="1"/>
    <col min="779" max="1024" width="11.42578125" style="12"/>
    <col min="1025" max="1025" width="5.140625" style="12" customWidth="1"/>
    <col min="1026" max="1026" width="57.5703125" style="12" customWidth="1"/>
    <col min="1027" max="1027" width="16.7109375" style="12" customWidth="1"/>
    <col min="1028" max="1028" width="10.28515625" style="12" bestFit="1" customWidth="1"/>
    <col min="1029" max="1029" width="6.85546875" style="12" bestFit="1" customWidth="1"/>
    <col min="1030" max="1030" width="7.85546875" style="12" bestFit="1" customWidth="1"/>
    <col min="1031" max="1031" width="11.42578125" style="12"/>
    <col min="1032" max="1032" width="46" style="12" customWidth="1"/>
    <col min="1033" max="1033" width="17" style="12" customWidth="1"/>
    <col min="1034" max="1034" width="14.28515625" style="12" customWidth="1"/>
    <col min="1035" max="1280" width="11.42578125" style="12"/>
    <col min="1281" max="1281" width="5.140625" style="12" customWidth="1"/>
    <col min="1282" max="1282" width="57.5703125" style="12" customWidth="1"/>
    <col min="1283" max="1283" width="16.7109375" style="12" customWidth="1"/>
    <col min="1284" max="1284" width="10.28515625" style="12" bestFit="1" customWidth="1"/>
    <col min="1285" max="1285" width="6.85546875" style="12" bestFit="1" customWidth="1"/>
    <col min="1286" max="1286" width="7.85546875" style="12" bestFit="1" customWidth="1"/>
    <col min="1287" max="1287" width="11.42578125" style="12"/>
    <col min="1288" max="1288" width="46" style="12" customWidth="1"/>
    <col min="1289" max="1289" width="17" style="12" customWidth="1"/>
    <col min="1290" max="1290" width="14.28515625" style="12" customWidth="1"/>
    <col min="1291" max="1536" width="11.42578125" style="12"/>
    <col min="1537" max="1537" width="5.140625" style="12" customWidth="1"/>
    <col min="1538" max="1538" width="57.5703125" style="12" customWidth="1"/>
    <col min="1539" max="1539" width="16.7109375" style="12" customWidth="1"/>
    <col min="1540" max="1540" width="10.28515625" style="12" bestFit="1" customWidth="1"/>
    <col min="1541" max="1541" width="6.85546875" style="12" bestFit="1" customWidth="1"/>
    <col min="1542" max="1542" width="7.85546875" style="12" bestFit="1" customWidth="1"/>
    <col min="1543" max="1543" width="11.42578125" style="12"/>
    <col min="1544" max="1544" width="46" style="12" customWidth="1"/>
    <col min="1545" max="1545" width="17" style="12" customWidth="1"/>
    <col min="1546" max="1546" width="14.28515625" style="12" customWidth="1"/>
    <col min="1547" max="1792" width="11.42578125" style="12"/>
    <col min="1793" max="1793" width="5.140625" style="12" customWidth="1"/>
    <col min="1794" max="1794" width="57.5703125" style="12" customWidth="1"/>
    <col min="1795" max="1795" width="16.7109375" style="12" customWidth="1"/>
    <col min="1796" max="1796" width="10.28515625" style="12" bestFit="1" customWidth="1"/>
    <col min="1797" max="1797" width="6.85546875" style="12" bestFit="1" customWidth="1"/>
    <col min="1798" max="1798" width="7.85546875" style="12" bestFit="1" customWidth="1"/>
    <col min="1799" max="1799" width="11.42578125" style="12"/>
    <col min="1800" max="1800" width="46" style="12" customWidth="1"/>
    <col min="1801" max="1801" width="17" style="12" customWidth="1"/>
    <col min="1802" max="1802" width="14.28515625" style="12" customWidth="1"/>
    <col min="1803" max="2048" width="11.42578125" style="12"/>
    <col min="2049" max="2049" width="5.140625" style="12" customWidth="1"/>
    <col min="2050" max="2050" width="57.5703125" style="12" customWidth="1"/>
    <col min="2051" max="2051" width="16.7109375" style="12" customWidth="1"/>
    <col min="2052" max="2052" width="10.28515625" style="12" bestFit="1" customWidth="1"/>
    <col min="2053" max="2053" width="6.85546875" style="12" bestFit="1" customWidth="1"/>
    <col min="2054" max="2054" width="7.85546875" style="12" bestFit="1" customWidth="1"/>
    <col min="2055" max="2055" width="11.42578125" style="12"/>
    <col min="2056" max="2056" width="46" style="12" customWidth="1"/>
    <col min="2057" max="2057" width="17" style="12" customWidth="1"/>
    <col min="2058" max="2058" width="14.28515625" style="12" customWidth="1"/>
    <col min="2059" max="2304" width="11.42578125" style="12"/>
    <col min="2305" max="2305" width="5.140625" style="12" customWidth="1"/>
    <col min="2306" max="2306" width="57.5703125" style="12" customWidth="1"/>
    <col min="2307" max="2307" width="16.7109375" style="12" customWidth="1"/>
    <col min="2308" max="2308" width="10.28515625" style="12" bestFit="1" customWidth="1"/>
    <col min="2309" max="2309" width="6.85546875" style="12" bestFit="1" customWidth="1"/>
    <col min="2310" max="2310" width="7.85546875" style="12" bestFit="1" customWidth="1"/>
    <col min="2311" max="2311" width="11.42578125" style="12"/>
    <col min="2312" max="2312" width="46" style="12" customWidth="1"/>
    <col min="2313" max="2313" width="17" style="12" customWidth="1"/>
    <col min="2314" max="2314" width="14.28515625" style="12" customWidth="1"/>
    <col min="2315" max="2560" width="11.42578125" style="12"/>
    <col min="2561" max="2561" width="5.140625" style="12" customWidth="1"/>
    <col min="2562" max="2562" width="57.5703125" style="12" customWidth="1"/>
    <col min="2563" max="2563" width="16.7109375" style="12" customWidth="1"/>
    <col min="2564" max="2564" width="10.28515625" style="12" bestFit="1" customWidth="1"/>
    <col min="2565" max="2565" width="6.85546875" style="12" bestFit="1" customWidth="1"/>
    <col min="2566" max="2566" width="7.85546875" style="12" bestFit="1" customWidth="1"/>
    <col min="2567" max="2567" width="11.42578125" style="12"/>
    <col min="2568" max="2568" width="46" style="12" customWidth="1"/>
    <col min="2569" max="2569" width="17" style="12" customWidth="1"/>
    <col min="2570" max="2570" width="14.28515625" style="12" customWidth="1"/>
    <col min="2571" max="2816" width="11.42578125" style="12"/>
    <col min="2817" max="2817" width="5.140625" style="12" customWidth="1"/>
    <col min="2818" max="2818" width="57.5703125" style="12" customWidth="1"/>
    <col min="2819" max="2819" width="16.7109375" style="12" customWidth="1"/>
    <col min="2820" max="2820" width="10.28515625" style="12" bestFit="1" customWidth="1"/>
    <col min="2821" max="2821" width="6.85546875" style="12" bestFit="1" customWidth="1"/>
    <col min="2822" max="2822" width="7.85546875" style="12" bestFit="1" customWidth="1"/>
    <col min="2823" max="2823" width="11.42578125" style="12"/>
    <col min="2824" max="2824" width="46" style="12" customWidth="1"/>
    <col min="2825" max="2825" width="17" style="12" customWidth="1"/>
    <col min="2826" max="2826" width="14.28515625" style="12" customWidth="1"/>
    <col min="2827" max="3072" width="11.42578125" style="12"/>
    <col min="3073" max="3073" width="5.140625" style="12" customWidth="1"/>
    <col min="3074" max="3074" width="57.5703125" style="12" customWidth="1"/>
    <col min="3075" max="3075" width="16.7109375" style="12" customWidth="1"/>
    <col min="3076" max="3076" width="10.28515625" style="12" bestFit="1" customWidth="1"/>
    <col min="3077" max="3077" width="6.85546875" style="12" bestFit="1" customWidth="1"/>
    <col min="3078" max="3078" width="7.85546875" style="12" bestFit="1" customWidth="1"/>
    <col min="3079" max="3079" width="11.42578125" style="12"/>
    <col min="3080" max="3080" width="46" style="12" customWidth="1"/>
    <col min="3081" max="3081" width="17" style="12" customWidth="1"/>
    <col min="3082" max="3082" width="14.28515625" style="12" customWidth="1"/>
    <col min="3083" max="3328" width="11.42578125" style="12"/>
    <col min="3329" max="3329" width="5.140625" style="12" customWidth="1"/>
    <col min="3330" max="3330" width="57.5703125" style="12" customWidth="1"/>
    <col min="3331" max="3331" width="16.7109375" style="12" customWidth="1"/>
    <col min="3332" max="3332" width="10.28515625" style="12" bestFit="1" customWidth="1"/>
    <col min="3333" max="3333" width="6.85546875" style="12" bestFit="1" customWidth="1"/>
    <col min="3334" max="3334" width="7.85546875" style="12" bestFit="1" customWidth="1"/>
    <col min="3335" max="3335" width="11.42578125" style="12"/>
    <col min="3336" max="3336" width="46" style="12" customWidth="1"/>
    <col min="3337" max="3337" width="17" style="12" customWidth="1"/>
    <col min="3338" max="3338" width="14.28515625" style="12" customWidth="1"/>
    <col min="3339" max="3584" width="11.42578125" style="12"/>
    <col min="3585" max="3585" width="5.140625" style="12" customWidth="1"/>
    <col min="3586" max="3586" width="57.5703125" style="12" customWidth="1"/>
    <col min="3587" max="3587" width="16.7109375" style="12" customWidth="1"/>
    <col min="3588" max="3588" width="10.28515625" style="12" bestFit="1" customWidth="1"/>
    <col min="3589" max="3589" width="6.85546875" style="12" bestFit="1" customWidth="1"/>
    <col min="3590" max="3590" width="7.85546875" style="12" bestFit="1" customWidth="1"/>
    <col min="3591" max="3591" width="11.42578125" style="12"/>
    <col min="3592" max="3592" width="46" style="12" customWidth="1"/>
    <col min="3593" max="3593" width="17" style="12" customWidth="1"/>
    <col min="3594" max="3594" width="14.28515625" style="12" customWidth="1"/>
    <col min="3595" max="3840" width="11.42578125" style="12"/>
    <col min="3841" max="3841" width="5.140625" style="12" customWidth="1"/>
    <col min="3842" max="3842" width="57.5703125" style="12" customWidth="1"/>
    <col min="3843" max="3843" width="16.7109375" style="12" customWidth="1"/>
    <col min="3844" max="3844" width="10.28515625" style="12" bestFit="1" customWidth="1"/>
    <col min="3845" max="3845" width="6.85546875" style="12" bestFit="1" customWidth="1"/>
    <col min="3846" max="3846" width="7.85546875" style="12" bestFit="1" customWidth="1"/>
    <col min="3847" max="3847" width="11.42578125" style="12"/>
    <col min="3848" max="3848" width="46" style="12" customWidth="1"/>
    <col min="3849" max="3849" width="17" style="12" customWidth="1"/>
    <col min="3850" max="3850" width="14.28515625" style="12" customWidth="1"/>
    <col min="3851" max="4096" width="11.42578125" style="12"/>
    <col min="4097" max="4097" width="5.140625" style="12" customWidth="1"/>
    <col min="4098" max="4098" width="57.5703125" style="12" customWidth="1"/>
    <col min="4099" max="4099" width="16.7109375" style="12" customWidth="1"/>
    <col min="4100" max="4100" width="10.28515625" style="12" bestFit="1" customWidth="1"/>
    <col min="4101" max="4101" width="6.85546875" style="12" bestFit="1" customWidth="1"/>
    <col min="4102" max="4102" width="7.85546875" style="12" bestFit="1" customWidth="1"/>
    <col min="4103" max="4103" width="11.42578125" style="12"/>
    <col min="4104" max="4104" width="46" style="12" customWidth="1"/>
    <col min="4105" max="4105" width="17" style="12" customWidth="1"/>
    <col min="4106" max="4106" width="14.28515625" style="12" customWidth="1"/>
    <col min="4107" max="4352" width="11.42578125" style="12"/>
    <col min="4353" max="4353" width="5.140625" style="12" customWidth="1"/>
    <col min="4354" max="4354" width="57.5703125" style="12" customWidth="1"/>
    <col min="4355" max="4355" width="16.7109375" style="12" customWidth="1"/>
    <col min="4356" max="4356" width="10.28515625" style="12" bestFit="1" customWidth="1"/>
    <col min="4357" max="4357" width="6.85546875" style="12" bestFit="1" customWidth="1"/>
    <col min="4358" max="4358" width="7.85546875" style="12" bestFit="1" customWidth="1"/>
    <col min="4359" max="4359" width="11.42578125" style="12"/>
    <col min="4360" max="4360" width="46" style="12" customWidth="1"/>
    <col min="4361" max="4361" width="17" style="12" customWidth="1"/>
    <col min="4362" max="4362" width="14.28515625" style="12" customWidth="1"/>
    <col min="4363" max="4608" width="11.42578125" style="12"/>
    <col min="4609" max="4609" width="5.140625" style="12" customWidth="1"/>
    <col min="4610" max="4610" width="57.5703125" style="12" customWidth="1"/>
    <col min="4611" max="4611" width="16.7109375" style="12" customWidth="1"/>
    <col min="4612" max="4612" width="10.28515625" style="12" bestFit="1" customWidth="1"/>
    <col min="4613" max="4613" width="6.85546875" style="12" bestFit="1" customWidth="1"/>
    <col min="4614" max="4614" width="7.85546875" style="12" bestFit="1" customWidth="1"/>
    <col min="4615" max="4615" width="11.42578125" style="12"/>
    <col min="4616" max="4616" width="46" style="12" customWidth="1"/>
    <col min="4617" max="4617" width="17" style="12" customWidth="1"/>
    <col min="4618" max="4618" width="14.28515625" style="12" customWidth="1"/>
    <col min="4619" max="4864" width="11.42578125" style="12"/>
    <col min="4865" max="4865" width="5.140625" style="12" customWidth="1"/>
    <col min="4866" max="4866" width="57.5703125" style="12" customWidth="1"/>
    <col min="4867" max="4867" width="16.7109375" style="12" customWidth="1"/>
    <col min="4868" max="4868" width="10.28515625" style="12" bestFit="1" customWidth="1"/>
    <col min="4869" max="4869" width="6.85546875" style="12" bestFit="1" customWidth="1"/>
    <col min="4870" max="4870" width="7.85546875" style="12" bestFit="1" customWidth="1"/>
    <col min="4871" max="4871" width="11.42578125" style="12"/>
    <col min="4872" max="4872" width="46" style="12" customWidth="1"/>
    <col min="4873" max="4873" width="17" style="12" customWidth="1"/>
    <col min="4874" max="4874" width="14.28515625" style="12" customWidth="1"/>
    <col min="4875" max="5120" width="11.42578125" style="12"/>
    <col min="5121" max="5121" width="5.140625" style="12" customWidth="1"/>
    <col min="5122" max="5122" width="57.5703125" style="12" customWidth="1"/>
    <col min="5123" max="5123" width="16.7109375" style="12" customWidth="1"/>
    <col min="5124" max="5124" width="10.28515625" style="12" bestFit="1" customWidth="1"/>
    <col min="5125" max="5125" width="6.85546875" style="12" bestFit="1" customWidth="1"/>
    <col min="5126" max="5126" width="7.85546875" style="12" bestFit="1" customWidth="1"/>
    <col min="5127" max="5127" width="11.42578125" style="12"/>
    <col min="5128" max="5128" width="46" style="12" customWidth="1"/>
    <col min="5129" max="5129" width="17" style="12" customWidth="1"/>
    <col min="5130" max="5130" width="14.28515625" style="12" customWidth="1"/>
    <col min="5131" max="5376" width="11.42578125" style="12"/>
    <col min="5377" max="5377" width="5.140625" style="12" customWidth="1"/>
    <col min="5378" max="5378" width="57.5703125" style="12" customWidth="1"/>
    <col min="5379" max="5379" width="16.7109375" style="12" customWidth="1"/>
    <col min="5380" max="5380" width="10.28515625" style="12" bestFit="1" customWidth="1"/>
    <col min="5381" max="5381" width="6.85546875" style="12" bestFit="1" customWidth="1"/>
    <col min="5382" max="5382" width="7.85546875" style="12" bestFit="1" customWidth="1"/>
    <col min="5383" max="5383" width="11.42578125" style="12"/>
    <col min="5384" max="5384" width="46" style="12" customWidth="1"/>
    <col min="5385" max="5385" width="17" style="12" customWidth="1"/>
    <col min="5386" max="5386" width="14.28515625" style="12" customWidth="1"/>
    <col min="5387" max="5632" width="11.42578125" style="12"/>
    <col min="5633" max="5633" width="5.140625" style="12" customWidth="1"/>
    <col min="5634" max="5634" width="57.5703125" style="12" customWidth="1"/>
    <col min="5635" max="5635" width="16.7109375" style="12" customWidth="1"/>
    <col min="5636" max="5636" width="10.28515625" style="12" bestFit="1" customWidth="1"/>
    <col min="5637" max="5637" width="6.85546875" style="12" bestFit="1" customWidth="1"/>
    <col min="5638" max="5638" width="7.85546875" style="12" bestFit="1" customWidth="1"/>
    <col min="5639" max="5639" width="11.42578125" style="12"/>
    <col min="5640" max="5640" width="46" style="12" customWidth="1"/>
    <col min="5641" max="5641" width="17" style="12" customWidth="1"/>
    <col min="5642" max="5642" width="14.28515625" style="12" customWidth="1"/>
    <col min="5643" max="5888" width="11.42578125" style="12"/>
    <col min="5889" max="5889" width="5.140625" style="12" customWidth="1"/>
    <col min="5890" max="5890" width="57.5703125" style="12" customWidth="1"/>
    <col min="5891" max="5891" width="16.7109375" style="12" customWidth="1"/>
    <col min="5892" max="5892" width="10.28515625" style="12" bestFit="1" customWidth="1"/>
    <col min="5893" max="5893" width="6.85546875" style="12" bestFit="1" customWidth="1"/>
    <col min="5894" max="5894" width="7.85546875" style="12" bestFit="1" customWidth="1"/>
    <col min="5895" max="5895" width="11.42578125" style="12"/>
    <col min="5896" max="5896" width="46" style="12" customWidth="1"/>
    <col min="5897" max="5897" width="17" style="12" customWidth="1"/>
    <col min="5898" max="5898" width="14.28515625" style="12" customWidth="1"/>
    <col min="5899" max="6144" width="11.42578125" style="12"/>
    <col min="6145" max="6145" width="5.140625" style="12" customWidth="1"/>
    <col min="6146" max="6146" width="57.5703125" style="12" customWidth="1"/>
    <col min="6147" max="6147" width="16.7109375" style="12" customWidth="1"/>
    <col min="6148" max="6148" width="10.28515625" style="12" bestFit="1" customWidth="1"/>
    <col min="6149" max="6149" width="6.85546875" style="12" bestFit="1" customWidth="1"/>
    <col min="6150" max="6150" width="7.85546875" style="12" bestFit="1" customWidth="1"/>
    <col min="6151" max="6151" width="11.42578125" style="12"/>
    <col min="6152" max="6152" width="46" style="12" customWidth="1"/>
    <col min="6153" max="6153" width="17" style="12" customWidth="1"/>
    <col min="6154" max="6154" width="14.28515625" style="12" customWidth="1"/>
    <col min="6155" max="6400" width="11.42578125" style="12"/>
    <col min="6401" max="6401" width="5.140625" style="12" customWidth="1"/>
    <col min="6402" max="6402" width="57.5703125" style="12" customWidth="1"/>
    <col min="6403" max="6403" width="16.7109375" style="12" customWidth="1"/>
    <col min="6404" max="6404" width="10.28515625" style="12" bestFit="1" customWidth="1"/>
    <col min="6405" max="6405" width="6.85546875" style="12" bestFit="1" customWidth="1"/>
    <col min="6406" max="6406" width="7.85546875" style="12" bestFit="1" customWidth="1"/>
    <col min="6407" max="6407" width="11.42578125" style="12"/>
    <col min="6408" max="6408" width="46" style="12" customWidth="1"/>
    <col min="6409" max="6409" width="17" style="12" customWidth="1"/>
    <col min="6410" max="6410" width="14.28515625" style="12" customWidth="1"/>
    <col min="6411" max="6656" width="11.42578125" style="12"/>
    <col min="6657" max="6657" width="5.140625" style="12" customWidth="1"/>
    <col min="6658" max="6658" width="57.5703125" style="12" customWidth="1"/>
    <col min="6659" max="6659" width="16.7109375" style="12" customWidth="1"/>
    <col min="6660" max="6660" width="10.28515625" style="12" bestFit="1" customWidth="1"/>
    <col min="6661" max="6661" width="6.85546875" style="12" bestFit="1" customWidth="1"/>
    <col min="6662" max="6662" width="7.85546875" style="12" bestFit="1" customWidth="1"/>
    <col min="6663" max="6663" width="11.42578125" style="12"/>
    <col min="6664" max="6664" width="46" style="12" customWidth="1"/>
    <col min="6665" max="6665" width="17" style="12" customWidth="1"/>
    <col min="6666" max="6666" width="14.28515625" style="12" customWidth="1"/>
    <col min="6667" max="6912" width="11.42578125" style="12"/>
    <col min="6913" max="6913" width="5.140625" style="12" customWidth="1"/>
    <col min="6914" max="6914" width="57.5703125" style="12" customWidth="1"/>
    <col min="6915" max="6915" width="16.7109375" style="12" customWidth="1"/>
    <col min="6916" max="6916" width="10.28515625" style="12" bestFit="1" customWidth="1"/>
    <col min="6917" max="6917" width="6.85546875" style="12" bestFit="1" customWidth="1"/>
    <col min="6918" max="6918" width="7.85546875" style="12" bestFit="1" customWidth="1"/>
    <col min="6919" max="6919" width="11.42578125" style="12"/>
    <col min="6920" max="6920" width="46" style="12" customWidth="1"/>
    <col min="6921" max="6921" width="17" style="12" customWidth="1"/>
    <col min="6922" max="6922" width="14.28515625" style="12" customWidth="1"/>
    <col min="6923" max="7168" width="11.42578125" style="12"/>
    <col min="7169" max="7169" width="5.140625" style="12" customWidth="1"/>
    <col min="7170" max="7170" width="57.5703125" style="12" customWidth="1"/>
    <col min="7171" max="7171" width="16.7109375" style="12" customWidth="1"/>
    <col min="7172" max="7172" width="10.28515625" style="12" bestFit="1" customWidth="1"/>
    <col min="7173" max="7173" width="6.85546875" style="12" bestFit="1" customWidth="1"/>
    <col min="7174" max="7174" width="7.85546875" style="12" bestFit="1" customWidth="1"/>
    <col min="7175" max="7175" width="11.42578125" style="12"/>
    <col min="7176" max="7176" width="46" style="12" customWidth="1"/>
    <col min="7177" max="7177" width="17" style="12" customWidth="1"/>
    <col min="7178" max="7178" width="14.28515625" style="12" customWidth="1"/>
    <col min="7179" max="7424" width="11.42578125" style="12"/>
    <col min="7425" max="7425" width="5.140625" style="12" customWidth="1"/>
    <col min="7426" max="7426" width="57.5703125" style="12" customWidth="1"/>
    <col min="7427" max="7427" width="16.7109375" style="12" customWidth="1"/>
    <col min="7428" max="7428" width="10.28515625" style="12" bestFit="1" customWidth="1"/>
    <col min="7429" max="7429" width="6.85546875" style="12" bestFit="1" customWidth="1"/>
    <col min="7430" max="7430" width="7.85546875" style="12" bestFit="1" customWidth="1"/>
    <col min="7431" max="7431" width="11.42578125" style="12"/>
    <col min="7432" max="7432" width="46" style="12" customWidth="1"/>
    <col min="7433" max="7433" width="17" style="12" customWidth="1"/>
    <col min="7434" max="7434" width="14.28515625" style="12" customWidth="1"/>
    <col min="7435" max="7680" width="11.42578125" style="12"/>
    <col min="7681" max="7681" width="5.140625" style="12" customWidth="1"/>
    <col min="7682" max="7682" width="57.5703125" style="12" customWidth="1"/>
    <col min="7683" max="7683" width="16.7109375" style="12" customWidth="1"/>
    <col min="7684" max="7684" width="10.28515625" style="12" bestFit="1" customWidth="1"/>
    <col min="7685" max="7685" width="6.85546875" style="12" bestFit="1" customWidth="1"/>
    <col min="7686" max="7686" width="7.85546875" style="12" bestFit="1" customWidth="1"/>
    <col min="7687" max="7687" width="11.42578125" style="12"/>
    <col min="7688" max="7688" width="46" style="12" customWidth="1"/>
    <col min="7689" max="7689" width="17" style="12" customWidth="1"/>
    <col min="7690" max="7690" width="14.28515625" style="12" customWidth="1"/>
    <col min="7691" max="7936" width="11.42578125" style="12"/>
    <col min="7937" max="7937" width="5.140625" style="12" customWidth="1"/>
    <col min="7938" max="7938" width="57.5703125" style="12" customWidth="1"/>
    <col min="7939" max="7939" width="16.7109375" style="12" customWidth="1"/>
    <col min="7940" max="7940" width="10.28515625" style="12" bestFit="1" customWidth="1"/>
    <col min="7941" max="7941" width="6.85546875" style="12" bestFit="1" customWidth="1"/>
    <col min="7942" max="7942" width="7.85546875" style="12" bestFit="1" customWidth="1"/>
    <col min="7943" max="7943" width="11.42578125" style="12"/>
    <col min="7944" max="7944" width="46" style="12" customWidth="1"/>
    <col min="7945" max="7945" width="17" style="12" customWidth="1"/>
    <col min="7946" max="7946" width="14.28515625" style="12" customWidth="1"/>
    <col min="7947" max="8192" width="11.42578125" style="12"/>
    <col min="8193" max="8193" width="5.140625" style="12" customWidth="1"/>
    <col min="8194" max="8194" width="57.5703125" style="12" customWidth="1"/>
    <col min="8195" max="8195" width="16.7109375" style="12" customWidth="1"/>
    <col min="8196" max="8196" width="10.28515625" style="12" bestFit="1" customWidth="1"/>
    <col min="8197" max="8197" width="6.85546875" style="12" bestFit="1" customWidth="1"/>
    <col min="8198" max="8198" width="7.85546875" style="12" bestFit="1" customWidth="1"/>
    <col min="8199" max="8199" width="11.42578125" style="12"/>
    <col min="8200" max="8200" width="46" style="12" customWidth="1"/>
    <col min="8201" max="8201" width="17" style="12" customWidth="1"/>
    <col min="8202" max="8202" width="14.28515625" style="12" customWidth="1"/>
    <col min="8203" max="8448" width="11.42578125" style="12"/>
    <col min="8449" max="8449" width="5.140625" style="12" customWidth="1"/>
    <col min="8450" max="8450" width="57.5703125" style="12" customWidth="1"/>
    <col min="8451" max="8451" width="16.7109375" style="12" customWidth="1"/>
    <col min="8452" max="8452" width="10.28515625" style="12" bestFit="1" customWidth="1"/>
    <col min="8453" max="8453" width="6.85546875" style="12" bestFit="1" customWidth="1"/>
    <col min="8454" max="8454" width="7.85546875" style="12" bestFit="1" customWidth="1"/>
    <col min="8455" max="8455" width="11.42578125" style="12"/>
    <col min="8456" max="8456" width="46" style="12" customWidth="1"/>
    <col min="8457" max="8457" width="17" style="12" customWidth="1"/>
    <col min="8458" max="8458" width="14.28515625" style="12" customWidth="1"/>
    <col min="8459" max="8704" width="11.42578125" style="12"/>
    <col min="8705" max="8705" width="5.140625" style="12" customWidth="1"/>
    <col min="8706" max="8706" width="57.5703125" style="12" customWidth="1"/>
    <col min="8707" max="8707" width="16.7109375" style="12" customWidth="1"/>
    <col min="8708" max="8708" width="10.28515625" style="12" bestFit="1" customWidth="1"/>
    <col min="8709" max="8709" width="6.85546875" style="12" bestFit="1" customWidth="1"/>
    <col min="8710" max="8710" width="7.85546875" style="12" bestFit="1" customWidth="1"/>
    <col min="8711" max="8711" width="11.42578125" style="12"/>
    <col min="8712" max="8712" width="46" style="12" customWidth="1"/>
    <col min="8713" max="8713" width="17" style="12" customWidth="1"/>
    <col min="8714" max="8714" width="14.28515625" style="12" customWidth="1"/>
    <col min="8715" max="8960" width="11.42578125" style="12"/>
    <col min="8961" max="8961" width="5.140625" style="12" customWidth="1"/>
    <col min="8962" max="8962" width="57.5703125" style="12" customWidth="1"/>
    <col min="8963" max="8963" width="16.7109375" style="12" customWidth="1"/>
    <col min="8964" max="8964" width="10.28515625" style="12" bestFit="1" customWidth="1"/>
    <col min="8965" max="8965" width="6.85546875" style="12" bestFit="1" customWidth="1"/>
    <col min="8966" max="8966" width="7.85546875" style="12" bestFit="1" customWidth="1"/>
    <col min="8967" max="8967" width="11.42578125" style="12"/>
    <col min="8968" max="8968" width="46" style="12" customWidth="1"/>
    <col min="8969" max="8969" width="17" style="12" customWidth="1"/>
    <col min="8970" max="8970" width="14.28515625" style="12" customWidth="1"/>
    <col min="8971" max="9216" width="11.42578125" style="12"/>
    <col min="9217" max="9217" width="5.140625" style="12" customWidth="1"/>
    <col min="9218" max="9218" width="57.5703125" style="12" customWidth="1"/>
    <col min="9219" max="9219" width="16.7109375" style="12" customWidth="1"/>
    <col min="9220" max="9220" width="10.28515625" style="12" bestFit="1" customWidth="1"/>
    <col min="9221" max="9221" width="6.85546875" style="12" bestFit="1" customWidth="1"/>
    <col min="9222" max="9222" width="7.85546875" style="12" bestFit="1" customWidth="1"/>
    <col min="9223" max="9223" width="11.42578125" style="12"/>
    <col min="9224" max="9224" width="46" style="12" customWidth="1"/>
    <col min="9225" max="9225" width="17" style="12" customWidth="1"/>
    <col min="9226" max="9226" width="14.28515625" style="12" customWidth="1"/>
    <col min="9227" max="9472" width="11.42578125" style="12"/>
    <col min="9473" max="9473" width="5.140625" style="12" customWidth="1"/>
    <col min="9474" max="9474" width="57.5703125" style="12" customWidth="1"/>
    <col min="9475" max="9475" width="16.7109375" style="12" customWidth="1"/>
    <col min="9476" max="9476" width="10.28515625" style="12" bestFit="1" customWidth="1"/>
    <col min="9477" max="9477" width="6.85546875" style="12" bestFit="1" customWidth="1"/>
    <col min="9478" max="9478" width="7.85546875" style="12" bestFit="1" customWidth="1"/>
    <col min="9479" max="9479" width="11.42578125" style="12"/>
    <col min="9480" max="9480" width="46" style="12" customWidth="1"/>
    <col min="9481" max="9481" width="17" style="12" customWidth="1"/>
    <col min="9482" max="9482" width="14.28515625" style="12" customWidth="1"/>
    <col min="9483" max="9728" width="11.42578125" style="12"/>
    <col min="9729" max="9729" width="5.140625" style="12" customWidth="1"/>
    <col min="9730" max="9730" width="57.5703125" style="12" customWidth="1"/>
    <col min="9731" max="9731" width="16.7109375" style="12" customWidth="1"/>
    <col min="9732" max="9732" width="10.28515625" style="12" bestFit="1" customWidth="1"/>
    <col min="9733" max="9733" width="6.85546875" style="12" bestFit="1" customWidth="1"/>
    <col min="9734" max="9734" width="7.85546875" style="12" bestFit="1" customWidth="1"/>
    <col min="9735" max="9735" width="11.42578125" style="12"/>
    <col min="9736" max="9736" width="46" style="12" customWidth="1"/>
    <col min="9737" max="9737" width="17" style="12" customWidth="1"/>
    <col min="9738" max="9738" width="14.28515625" style="12" customWidth="1"/>
    <col min="9739" max="9984" width="11.42578125" style="12"/>
    <col min="9985" max="9985" width="5.140625" style="12" customWidth="1"/>
    <col min="9986" max="9986" width="57.5703125" style="12" customWidth="1"/>
    <col min="9987" max="9987" width="16.7109375" style="12" customWidth="1"/>
    <col min="9988" max="9988" width="10.28515625" style="12" bestFit="1" customWidth="1"/>
    <col min="9989" max="9989" width="6.85546875" style="12" bestFit="1" customWidth="1"/>
    <col min="9990" max="9990" width="7.85546875" style="12" bestFit="1" customWidth="1"/>
    <col min="9991" max="9991" width="11.42578125" style="12"/>
    <col min="9992" max="9992" width="46" style="12" customWidth="1"/>
    <col min="9993" max="9993" width="17" style="12" customWidth="1"/>
    <col min="9994" max="9994" width="14.28515625" style="12" customWidth="1"/>
    <col min="9995" max="10240" width="11.42578125" style="12"/>
    <col min="10241" max="10241" width="5.140625" style="12" customWidth="1"/>
    <col min="10242" max="10242" width="57.5703125" style="12" customWidth="1"/>
    <col min="10243" max="10243" width="16.7109375" style="12" customWidth="1"/>
    <col min="10244" max="10244" width="10.28515625" style="12" bestFit="1" customWidth="1"/>
    <col min="10245" max="10245" width="6.85546875" style="12" bestFit="1" customWidth="1"/>
    <col min="10246" max="10246" width="7.85546875" style="12" bestFit="1" customWidth="1"/>
    <col min="10247" max="10247" width="11.42578125" style="12"/>
    <col min="10248" max="10248" width="46" style="12" customWidth="1"/>
    <col min="10249" max="10249" width="17" style="12" customWidth="1"/>
    <col min="10250" max="10250" width="14.28515625" style="12" customWidth="1"/>
    <col min="10251" max="10496" width="11.42578125" style="12"/>
    <col min="10497" max="10497" width="5.140625" style="12" customWidth="1"/>
    <col min="10498" max="10498" width="57.5703125" style="12" customWidth="1"/>
    <col min="10499" max="10499" width="16.7109375" style="12" customWidth="1"/>
    <col min="10500" max="10500" width="10.28515625" style="12" bestFit="1" customWidth="1"/>
    <col min="10501" max="10501" width="6.85546875" style="12" bestFit="1" customWidth="1"/>
    <col min="10502" max="10502" width="7.85546875" style="12" bestFit="1" customWidth="1"/>
    <col min="10503" max="10503" width="11.42578125" style="12"/>
    <col min="10504" max="10504" width="46" style="12" customWidth="1"/>
    <col min="10505" max="10505" width="17" style="12" customWidth="1"/>
    <col min="10506" max="10506" width="14.28515625" style="12" customWidth="1"/>
    <col min="10507" max="10752" width="11.42578125" style="12"/>
    <col min="10753" max="10753" width="5.140625" style="12" customWidth="1"/>
    <col min="10754" max="10754" width="57.5703125" style="12" customWidth="1"/>
    <col min="10755" max="10755" width="16.7109375" style="12" customWidth="1"/>
    <col min="10756" max="10756" width="10.28515625" style="12" bestFit="1" customWidth="1"/>
    <col min="10757" max="10757" width="6.85546875" style="12" bestFit="1" customWidth="1"/>
    <col min="10758" max="10758" width="7.85546875" style="12" bestFit="1" customWidth="1"/>
    <col min="10759" max="10759" width="11.42578125" style="12"/>
    <col min="10760" max="10760" width="46" style="12" customWidth="1"/>
    <col min="10761" max="10761" width="17" style="12" customWidth="1"/>
    <col min="10762" max="10762" width="14.28515625" style="12" customWidth="1"/>
    <col min="10763" max="11008" width="11.42578125" style="12"/>
    <col min="11009" max="11009" width="5.140625" style="12" customWidth="1"/>
    <col min="11010" max="11010" width="57.5703125" style="12" customWidth="1"/>
    <col min="11011" max="11011" width="16.7109375" style="12" customWidth="1"/>
    <col min="11012" max="11012" width="10.28515625" style="12" bestFit="1" customWidth="1"/>
    <col min="11013" max="11013" width="6.85546875" style="12" bestFit="1" customWidth="1"/>
    <col min="11014" max="11014" width="7.85546875" style="12" bestFit="1" customWidth="1"/>
    <col min="11015" max="11015" width="11.42578125" style="12"/>
    <col min="11016" max="11016" width="46" style="12" customWidth="1"/>
    <col min="11017" max="11017" width="17" style="12" customWidth="1"/>
    <col min="11018" max="11018" width="14.28515625" style="12" customWidth="1"/>
    <col min="11019" max="11264" width="11.42578125" style="12"/>
    <col min="11265" max="11265" width="5.140625" style="12" customWidth="1"/>
    <col min="11266" max="11266" width="57.5703125" style="12" customWidth="1"/>
    <col min="11267" max="11267" width="16.7109375" style="12" customWidth="1"/>
    <col min="11268" max="11268" width="10.28515625" style="12" bestFit="1" customWidth="1"/>
    <col min="11269" max="11269" width="6.85546875" style="12" bestFit="1" customWidth="1"/>
    <col min="11270" max="11270" width="7.85546875" style="12" bestFit="1" customWidth="1"/>
    <col min="11271" max="11271" width="11.42578125" style="12"/>
    <col min="11272" max="11272" width="46" style="12" customWidth="1"/>
    <col min="11273" max="11273" width="17" style="12" customWidth="1"/>
    <col min="11274" max="11274" width="14.28515625" style="12" customWidth="1"/>
    <col min="11275" max="11520" width="11.42578125" style="12"/>
    <col min="11521" max="11521" width="5.140625" style="12" customWidth="1"/>
    <col min="11522" max="11522" width="57.5703125" style="12" customWidth="1"/>
    <col min="11523" max="11523" width="16.7109375" style="12" customWidth="1"/>
    <col min="11524" max="11524" width="10.28515625" style="12" bestFit="1" customWidth="1"/>
    <col min="11525" max="11525" width="6.85546875" style="12" bestFit="1" customWidth="1"/>
    <col min="11526" max="11526" width="7.85546875" style="12" bestFit="1" customWidth="1"/>
    <col min="11527" max="11527" width="11.42578125" style="12"/>
    <col min="11528" max="11528" width="46" style="12" customWidth="1"/>
    <col min="11529" max="11529" width="17" style="12" customWidth="1"/>
    <col min="11530" max="11530" width="14.28515625" style="12" customWidth="1"/>
    <col min="11531" max="11776" width="11.42578125" style="12"/>
    <col min="11777" max="11777" width="5.140625" style="12" customWidth="1"/>
    <col min="11778" max="11778" width="57.5703125" style="12" customWidth="1"/>
    <col min="11779" max="11779" width="16.7109375" style="12" customWidth="1"/>
    <col min="11780" max="11780" width="10.28515625" style="12" bestFit="1" customWidth="1"/>
    <col min="11781" max="11781" width="6.85546875" style="12" bestFit="1" customWidth="1"/>
    <col min="11782" max="11782" width="7.85546875" style="12" bestFit="1" customWidth="1"/>
    <col min="11783" max="11783" width="11.42578125" style="12"/>
    <col min="11784" max="11784" width="46" style="12" customWidth="1"/>
    <col min="11785" max="11785" width="17" style="12" customWidth="1"/>
    <col min="11786" max="11786" width="14.28515625" style="12" customWidth="1"/>
    <col min="11787" max="12032" width="11.42578125" style="12"/>
    <col min="12033" max="12033" width="5.140625" style="12" customWidth="1"/>
    <col min="12034" max="12034" width="57.5703125" style="12" customWidth="1"/>
    <col min="12035" max="12035" width="16.7109375" style="12" customWidth="1"/>
    <col min="12036" max="12036" width="10.28515625" style="12" bestFit="1" customWidth="1"/>
    <col min="12037" max="12037" width="6.85546875" style="12" bestFit="1" customWidth="1"/>
    <col min="12038" max="12038" width="7.85546875" style="12" bestFit="1" customWidth="1"/>
    <col min="12039" max="12039" width="11.42578125" style="12"/>
    <col min="12040" max="12040" width="46" style="12" customWidth="1"/>
    <col min="12041" max="12041" width="17" style="12" customWidth="1"/>
    <col min="12042" max="12042" width="14.28515625" style="12" customWidth="1"/>
    <col min="12043" max="12288" width="11.42578125" style="12"/>
    <col min="12289" max="12289" width="5.140625" style="12" customWidth="1"/>
    <col min="12290" max="12290" width="57.5703125" style="12" customWidth="1"/>
    <col min="12291" max="12291" width="16.7109375" style="12" customWidth="1"/>
    <col min="12292" max="12292" width="10.28515625" style="12" bestFit="1" customWidth="1"/>
    <col min="12293" max="12293" width="6.85546875" style="12" bestFit="1" customWidth="1"/>
    <col min="12294" max="12294" width="7.85546875" style="12" bestFit="1" customWidth="1"/>
    <col min="12295" max="12295" width="11.42578125" style="12"/>
    <col min="12296" max="12296" width="46" style="12" customWidth="1"/>
    <col min="12297" max="12297" width="17" style="12" customWidth="1"/>
    <col min="12298" max="12298" width="14.28515625" style="12" customWidth="1"/>
    <col min="12299" max="12544" width="11.42578125" style="12"/>
    <col min="12545" max="12545" width="5.140625" style="12" customWidth="1"/>
    <col min="12546" max="12546" width="57.5703125" style="12" customWidth="1"/>
    <col min="12547" max="12547" width="16.7109375" style="12" customWidth="1"/>
    <col min="12548" max="12548" width="10.28515625" style="12" bestFit="1" customWidth="1"/>
    <col min="12549" max="12549" width="6.85546875" style="12" bestFit="1" customWidth="1"/>
    <col min="12550" max="12550" width="7.85546875" style="12" bestFit="1" customWidth="1"/>
    <col min="12551" max="12551" width="11.42578125" style="12"/>
    <col min="12552" max="12552" width="46" style="12" customWidth="1"/>
    <col min="12553" max="12553" width="17" style="12" customWidth="1"/>
    <col min="12554" max="12554" width="14.28515625" style="12" customWidth="1"/>
    <col min="12555" max="12800" width="11.42578125" style="12"/>
    <col min="12801" max="12801" width="5.140625" style="12" customWidth="1"/>
    <col min="12802" max="12802" width="57.5703125" style="12" customWidth="1"/>
    <col min="12803" max="12803" width="16.7109375" style="12" customWidth="1"/>
    <col min="12804" max="12804" width="10.28515625" style="12" bestFit="1" customWidth="1"/>
    <col min="12805" max="12805" width="6.85546875" style="12" bestFit="1" customWidth="1"/>
    <col min="12806" max="12806" width="7.85546875" style="12" bestFit="1" customWidth="1"/>
    <col min="12807" max="12807" width="11.42578125" style="12"/>
    <col min="12808" max="12808" width="46" style="12" customWidth="1"/>
    <col min="12809" max="12809" width="17" style="12" customWidth="1"/>
    <col min="12810" max="12810" width="14.28515625" style="12" customWidth="1"/>
    <col min="12811" max="13056" width="11.42578125" style="12"/>
    <col min="13057" max="13057" width="5.140625" style="12" customWidth="1"/>
    <col min="13058" max="13058" width="57.5703125" style="12" customWidth="1"/>
    <col min="13059" max="13059" width="16.7109375" style="12" customWidth="1"/>
    <col min="13060" max="13060" width="10.28515625" style="12" bestFit="1" customWidth="1"/>
    <col min="13061" max="13061" width="6.85546875" style="12" bestFit="1" customWidth="1"/>
    <col min="13062" max="13062" width="7.85546875" style="12" bestFit="1" customWidth="1"/>
    <col min="13063" max="13063" width="11.42578125" style="12"/>
    <col min="13064" max="13064" width="46" style="12" customWidth="1"/>
    <col min="13065" max="13065" width="17" style="12" customWidth="1"/>
    <col min="13066" max="13066" width="14.28515625" style="12" customWidth="1"/>
    <col min="13067" max="13312" width="11.42578125" style="12"/>
    <col min="13313" max="13313" width="5.140625" style="12" customWidth="1"/>
    <col min="13314" max="13314" width="57.5703125" style="12" customWidth="1"/>
    <col min="13315" max="13315" width="16.7109375" style="12" customWidth="1"/>
    <col min="13316" max="13316" width="10.28515625" style="12" bestFit="1" customWidth="1"/>
    <col min="13317" max="13317" width="6.85546875" style="12" bestFit="1" customWidth="1"/>
    <col min="13318" max="13318" width="7.85546875" style="12" bestFit="1" customWidth="1"/>
    <col min="13319" max="13319" width="11.42578125" style="12"/>
    <col min="13320" max="13320" width="46" style="12" customWidth="1"/>
    <col min="13321" max="13321" width="17" style="12" customWidth="1"/>
    <col min="13322" max="13322" width="14.28515625" style="12" customWidth="1"/>
    <col min="13323" max="13568" width="11.42578125" style="12"/>
    <col min="13569" max="13569" width="5.140625" style="12" customWidth="1"/>
    <col min="13570" max="13570" width="57.5703125" style="12" customWidth="1"/>
    <col min="13571" max="13571" width="16.7109375" style="12" customWidth="1"/>
    <col min="13572" max="13572" width="10.28515625" style="12" bestFit="1" customWidth="1"/>
    <col min="13573" max="13573" width="6.85546875" style="12" bestFit="1" customWidth="1"/>
    <col min="13574" max="13574" width="7.85546875" style="12" bestFit="1" customWidth="1"/>
    <col min="13575" max="13575" width="11.42578125" style="12"/>
    <col min="13576" max="13576" width="46" style="12" customWidth="1"/>
    <col min="13577" max="13577" width="17" style="12" customWidth="1"/>
    <col min="13578" max="13578" width="14.28515625" style="12" customWidth="1"/>
    <col min="13579" max="13824" width="11.42578125" style="12"/>
    <col min="13825" max="13825" width="5.140625" style="12" customWidth="1"/>
    <col min="13826" max="13826" width="57.5703125" style="12" customWidth="1"/>
    <col min="13827" max="13827" width="16.7109375" style="12" customWidth="1"/>
    <col min="13828" max="13828" width="10.28515625" style="12" bestFit="1" customWidth="1"/>
    <col min="13829" max="13829" width="6.85546875" style="12" bestFit="1" customWidth="1"/>
    <col min="13830" max="13830" width="7.85546875" style="12" bestFit="1" customWidth="1"/>
    <col min="13831" max="13831" width="11.42578125" style="12"/>
    <col min="13832" max="13832" width="46" style="12" customWidth="1"/>
    <col min="13833" max="13833" width="17" style="12" customWidth="1"/>
    <col min="13834" max="13834" width="14.28515625" style="12" customWidth="1"/>
    <col min="13835" max="14080" width="11.42578125" style="12"/>
    <col min="14081" max="14081" width="5.140625" style="12" customWidth="1"/>
    <col min="14082" max="14082" width="57.5703125" style="12" customWidth="1"/>
    <col min="14083" max="14083" width="16.7109375" style="12" customWidth="1"/>
    <col min="14084" max="14084" width="10.28515625" style="12" bestFit="1" customWidth="1"/>
    <col min="14085" max="14085" width="6.85546875" style="12" bestFit="1" customWidth="1"/>
    <col min="14086" max="14086" width="7.85546875" style="12" bestFit="1" customWidth="1"/>
    <col min="14087" max="14087" width="11.42578125" style="12"/>
    <col min="14088" max="14088" width="46" style="12" customWidth="1"/>
    <col min="14089" max="14089" width="17" style="12" customWidth="1"/>
    <col min="14090" max="14090" width="14.28515625" style="12" customWidth="1"/>
    <col min="14091" max="14336" width="11.42578125" style="12"/>
    <col min="14337" max="14337" width="5.140625" style="12" customWidth="1"/>
    <col min="14338" max="14338" width="57.5703125" style="12" customWidth="1"/>
    <col min="14339" max="14339" width="16.7109375" style="12" customWidth="1"/>
    <col min="14340" max="14340" width="10.28515625" style="12" bestFit="1" customWidth="1"/>
    <col min="14341" max="14341" width="6.85546875" style="12" bestFit="1" customWidth="1"/>
    <col min="14342" max="14342" width="7.85546875" style="12" bestFit="1" customWidth="1"/>
    <col min="14343" max="14343" width="11.42578125" style="12"/>
    <col min="14344" max="14344" width="46" style="12" customWidth="1"/>
    <col min="14345" max="14345" width="17" style="12" customWidth="1"/>
    <col min="14346" max="14346" width="14.28515625" style="12" customWidth="1"/>
    <col min="14347" max="14592" width="11.42578125" style="12"/>
    <col min="14593" max="14593" width="5.140625" style="12" customWidth="1"/>
    <col min="14594" max="14594" width="57.5703125" style="12" customWidth="1"/>
    <col min="14595" max="14595" width="16.7109375" style="12" customWidth="1"/>
    <col min="14596" max="14596" width="10.28515625" style="12" bestFit="1" customWidth="1"/>
    <col min="14597" max="14597" width="6.85546875" style="12" bestFit="1" customWidth="1"/>
    <col min="14598" max="14598" width="7.85546875" style="12" bestFit="1" customWidth="1"/>
    <col min="14599" max="14599" width="11.42578125" style="12"/>
    <col min="14600" max="14600" width="46" style="12" customWidth="1"/>
    <col min="14601" max="14601" width="17" style="12" customWidth="1"/>
    <col min="14602" max="14602" width="14.28515625" style="12" customWidth="1"/>
    <col min="14603" max="14848" width="11.42578125" style="12"/>
    <col min="14849" max="14849" width="5.140625" style="12" customWidth="1"/>
    <col min="14850" max="14850" width="57.5703125" style="12" customWidth="1"/>
    <col min="14851" max="14851" width="16.7109375" style="12" customWidth="1"/>
    <col min="14852" max="14852" width="10.28515625" style="12" bestFit="1" customWidth="1"/>
    <col min="14853" max="14853" width="6.85546875" style="12" bestFit="1" customWidth="1"/>
    <col min="14854" max="14854" width="7.85546875" style="12" bestFit="1" customWidth="1"/>
    <col min="14855" max="14855" width="11.42578125" style="12"/>
    <col min="14856" max="14856" width="46" style="12" customWidth="1"/>
    <col min="14857" max="14857" width="17" style="12" customWidth="1"/>
    <col min="14858" max="14858" width="14.28515625" style="12" customWidth="1"/>
    <col min="14859" max="15104" width="11.42578125" style="12"/>
    <col min="15105" max="15105" width="5.140625" style="12" customWidth="1"/>
    <col min="15106" max="15106" width="57.5703125" style="12" customWidth="1"/>
    <col min="15107" max="15107" width="16.7109375" style="12" customWidth="1"/>
    <col min="15108" max="15108" width="10.28515625" style="12" bestFit="1" customWidth="1"/>
    <col min="15109" max="15109" width="6.85546875" style="12" bestFit="1" customWidth="1"/>
    <col min="15110" max="15110" width="7.85546875" style="12" bestFit="1" customWidth="1"/>
    <col min="15111" max="15111" width="11.42578125" style="12"/>
    <col min="15112" max="15112" width="46" style="12" customWidth="1"/>
    <col min="15113" max="15113" width="17" style="12" customWidth="1"/>
    <col min="15114" max="15114" width="14.28515625" style="12" customWidth="1"/>
    <col min="15115" max="15360" width="11.42578125" style="12"/>
    <col min="15361" max="15361" width="5.140625" style="12" customWidth="1"/>
    <col min="15362" max="15362" width="57.5703125" style="12" customWidth="1"/>
    <col min="15363" max="15363" width="16.7109375" style="12" customWidth="1"/>
    <col min="15364" max="15364" width="10.28515625" style="12" bestFit="1" customWidth="1"/>
    <col min="15365" max="15365" width="6.85546875" style="12" bestFit="1" customWidth="1"/>
    <col min="15366" max="15366" width="7.85546875" style="12" bestFit="1" customWidth="1"/>
    <col min="15367" max="15367" width="11.42578125" style="12"/>
    <col min="15368" max="15368" width="46" style="12" customWidth="1"/>
    <col min="15369" max="15369" width="17" style="12" customWidth="1"/>
    <col min="15370" max="15370" width="14.28515625" style="12" customWidth="1"/>
    <col min="15371" max="15616" width="11.42578125" style="12"/>
    <col min="15617" max="15617" width="5.140625" style="12" customWidth="1"/>
    <col min="15618" max="15618" width="57.5703125" style="12" customWidth="1"/>
    <col min="15619" max="15619" width="16.7109375" style="12" customWidth="1"/>
    <col min="15620" max="15620" width="10.28515625" style="12" bestFit="1" customWidth="1"/>
    <col min="15621" max="15621" width="6.85546875" style="12" bestFit="1" customWidth="1"/>
    <col min="15622" max="15622" width="7.85546875" style="12" bestFit="1" customWidth="1"/>
    <col min="15623" max="15623" width="11.42578125" style="12"/>
    <col min="15624" max="15624" width="46" style="12" customWidth="1"/>
    <col min="15625" max="15625" width="17" style="12" customWidth="1"/>
    <col min="15626" max="15626" width="14.28515625" style="12" customWidth="1"/>
    <col min="15627" max="15872" width="11.42578125" style="12"/>
    <col min="15873" max="15873" width="5.140625" style="12" customWidth="1"/>
    <col min="15874" max="15874" width="57.5703125" style="12" customWidth="1"/>
    <col min="15875" max="15875" width="16.7109375" style="12" customWidth="1"/>
    <col min="15876" max="15876" width="10.28515625" style="12" bestFit="1" customWidth="1"/>
    <col min="15877" max="15877" width="6.85546875" style="12" bestFit="1" customWidth="1"/>
    <col min="15878" max="15878" width="7.85546875" style="12" bestFit="1" customWidth="1"/>
    <col min="15879" max="15879" width="11.42578125" style="12"/>
    <col min="15880" max="15880" width="46" style="12" customWidth="1"/>
    <col min="15881" max="15881" width="17" style="12" customWidth="1"/>
    <col min="15882" max="15882" width="14.28515625" style="12" customWidth="1"/>
    <col min="15883" max="16128" width="11.42578125" style="12"/>
    <col min="16129" max="16129" width="5.140625" style="12" customWidth="1"/>
    <col min="16130" max="16130" width="57.5703125" style="12" customWidth="1"/>
    <col min="16131" max="16131" width="16.7109375" style="12" customWidth="1"/>
    <col min="16132" max="16132" width="10.28515625" style="12" bestFit="1" customWidth="1"/>
    <col min="16133" max="16133" width="6.85546875" style="12" bestFit="1" customWidth="1"/>
    <col min="16134" max="16134" width="7.85546875" style="12" bestFit="1" customWidth="1"/>
    <col min="16135" max="16135" width="11.42578125" style="12"/>
    <col min="16136" max="16136" width="46" style="12" customWidth="1"/>
    <col min="16137" max="16137" width="17" style="12" customWidth="1"/>
    <col min="16138" max="16138" width="14.28515625" style="12" customWidth="1"/>
    <col min="16139" max="16384" width="11.42578125" style="12"/>
  </cols>
  <sheetData>
    <row r="1" spans="1:7">
      <c r="A1" s="338" t="s">
        <v>25</v>
      </c>
      <c r="B1" s="338"/>
      <c r="C1" s="338"/>
      <c r="D1" s="338"/>
      <c r="E1" s="338"/>
      <c r="F1" s="338"/>
      <c r="G1" s="338"/>
    </row>
    <row r="2" spans="1:7">
      <c r="A2" s="339" t="s">
        <v>26</v>
      </c>
      <c r="B2" s="339"/>
      <c r="C2" s="339"/>
      <c r="D2" s="339"/>
      <c r="E2" s="339"/>
      <c r="F2" s="339"/>
      <c r="G2" s="339"/>
    </row>
    <row r="3" spans="1:7">
      <c r="A3" s="339" t="s">
        <v>27</v>
      </c>
      <c r="B3" s="339"/>
      <c r="C3" s="339"/>
      <c r="D3" s="339"/>
      <c r="E3" s="339"/>
      <c r="F3" s="339"/>
      <c r="G3" s="339"/>
    </row>
    <row r="4" spans="1:7">
      <c r="A4" s="340" t="s">
        <v>317</v>
      </c>
      <c r="B4" s="340"/>
      <c r="C4" s="340"/>
      <c r="D4" s="340"/>
      <c r="E4" s="340"/>
      <c r="F4" s="340"/>
      <c r="G4" s="340"/>
    </row>
    <row r="5" spans="1:7" ht="15" customHeight="1">
      <c r="A5" s="337" t="s">
        <v>28</v>
      </c>
      <c r="B5" s="337"/>
      <c r="C5" s="337"/>
      <c r="D5" s="337"/>
      <c r="E5" s="337"/>
      <c r="F5" s="337"/>
      <c r="G5" s="337"/>
    </row>
    <row r="6" spans="1:7" ht="35.25" customHeight="1">
      <c r="A6" s="336" t="s">
        <v>167</v>
      </c>
      <c r="B6" s="336"/>
      <c r="C6" s="336"/>
      <c r="D6" s="336"/>
      <c r="E6" s="336"/>
      <c r="F6" s="336"/>
      <c r="G6" s="336"/>
    </row>
    <row r="7" spans="1:7">
      <c r="A7" s="334" t="s">
        <v>316</v>
      </c>
      <c r="B7" s="334"/>
      <c r="C7" s="334"/>
      <c r="D7" s="334"/>
      <c r="E7" s="334"/>
      <c r="F7" s="334"/>
      <c r="G7" s="334"/>
    </row>
    <row r="8" spans="1:7" ht="30">
      <c r="A8" s="124" t="s">
        <v>10</v>
      </c>
      <c r="B8" s="124" t="s">
        <v>125</v>
      </c>
      <c r="C8" s="124" t="s">
        <v>129</v>
      </c>
      <c r="D8" s="124" t="s">
        <v>126</v>
      </c>
      <c r="E8" s="124" t="s">
        <v>130</v>
      </c>
      <c r="F8" s="124" t="s">
        <v>127</v>
      </c>
      <c r="G8" s="124" t="s">
        <v>128</v>
      </c>
    </row>
    <row r="9" spans="1:7" ht="30">
      <c r="A9" s="125">
        <v>1</v>
      </c>
      <c r="B9" s="127" t="s">
        <v>168</v>
      </c>
      <c r="C9" s="126">
        <v>1</v>
      </c>
      <c r="D9" s="126">
        <f>C9</f>
        <v>1</v>
      </c>
      <c r="E9" s="128">
        <f>'An IV A Custo Grupo 1'!D157</f>
        <v>5570.4009406161067</v>
      </c>
      <c r="F9" s="128">
        <f>E9*D9</f>
        <v>5570.4009406161067</v>
      </c>
      <c r="G9" s="128">
        <f>12*F9</f>
        <v>66844.811287393284</v>
      </c>
    </row>
    <row r="10" spans="1:7" ht="30">
      <c r="A10" s="125">
        <v>2</v>
      </c>
      <c r="B10" s="127" t="s">
        <v>169</v>
      </c>
      <c r="C10" s="126">
        <v>1</v>
      </c>
      <c r="D10" s="126">
        <f t="shared" ref="D10" si="0">C10</f>
        <v>1</v>
      </c>
      <c r="E10" s="128">
        <f>'An IV A Custo Grupo 1'!E157</f>
        <v>5012.8617613457427</v>
      </c>
      <c r="F10" s="128">
        <f>E10*D10</f>
        <v>5012.8617613457427</v>
      </c>
      <c r="G10" s="128">
        <f>12*F10</f>
        <v>60154.341136148912</v>
      </c>
    </row>
    <row r="11" spans="1:7">
      <c r="A11" s="125">
        <v>3</v>
      </c>
      <c r="B11" s="127" t="s">
        <v>179</v>
      </c>
      <c r="C11" s="126">
        <v>1</v>
      </c>
      <c r="D11" s="126">
        <f t="shared" ref="D11:D15" si="1">C11</f>
        <v>1</v>
      </c>
      <c r="E11" s="128">
        <f>'An IV A Custo Grupo 1'!F157</f>
        <v>5092.1671833686705</v>
      </c>
      <c r="F11" s="128">
        <f t="shared" ref="F11:F22" si="2">E11*D11</f>
        <v>5092.1671833686705</v>
      </c>
      <c r="G11" s="128">
        <f t="shared" ref="G11:G23" si="3">12*F11</f>
        <v>61106.006200424046</v>
      </c>
    </row>
    <row r="12" spans="1:7" ht="30">
      <c r="A12" s="125">
        <v>4</v>
      </c>
      <c r="B12" s="127" t="s">
        <v>170</v>
      </c>
      <c r="C12" s="126">
        <v>1</v>
      </c>
      <c r="D12" s="126">
        <f t="shared" si="1"/>
        <v>1</v>
      </c>
      <c r="E12" s="128">
        <f>'An IV A Custo Grupo 1'!G157</f>
        <v>4555.9615789374384</v>
      </c>
      <c r="F12" s="128">
        <f t="shared" si="2"/>
        <v>4555.9615789374384</v>
      </c>
      <c r="G12" s="128">
        <f t="shared" si="3"/>
        <v>54671.538947249261</v>
      </c>
    </row>
    <row r="13" spans="1:7">
      <c r="A13" s="125">
        <v>5</v>
      </c>
      <c r="B13" s="127" t="s">
        <v>171</v>
      </c>
      <c r="C13" s="126">
        <v>2</v>
      </c>
      <c r="D13" s="126">
        <f t="shared" si="1"/>
        <v>2</v>
      </c>
      <c r="E13" s="128">
        <f>'An IV A Custo Grupo 1'!H157</f>
        <v>4984.5019943821662</v>
      </c>
      <c r="F13" s="128">
        <f t="shared" si="2"/>
        <v>9969.0039887643325</v>
      </c>
      <c r="G13" s="128">
        <f t="shared" si="3"/>
        <v>119628.04786517199</v>
      </c>
    </row>
    <row r="14" spans="1:7">
      <c r="A14" s="125">
        <v>6</v>
      </c>
      <c r="B14" s="127" t="s">
        <v>172</v>
      </c>
      <c r="C14" s="126">
        <v>7</v>
      </c>
      <c r="D14" s="126">
        <f t="shared" si="1"/>
        <v>7</v>
      </c>
      <c r="E14" s="128">
        <f>'An IV B Custo Grupo 2'!D157</f>
        <v>4730.9226448087684</v>
      </c>
      <c r="F14" s="128">
        <f t="shared" si="2"/>
        <v>33116.458513661375</v>
      </c>
      <c r="G14" s="128">
        <f t="shared" si="3"/>
        <v>397397.5021639365</v>
      </c>
    </row>
    <row r="15" spans="1:7">
      <c r="A15" s="125">
        <v>7</v>
      </c>
      <c r="B15" s="127" t="s">
        <v>173</v>
      </c>
      <c r="C15" s="126">
        <v>9</v>
      </c>
      <c r="D15" s="126">
        <f t="shared" si="1"/>
        <v>9</v>
      </c>
      <c r="E15" s="128">
        <f>'An IV B Custo Grupo 2'!E157</f>
        <v>5942.7944847514391</v>
      </c>
      <c r="F15" s="128">
        <f t="shared" si="2"/>
        <v>53485.15036276295</v>
      </c>
      <c r="G15" s="128">
        <f t="shared" si="3"/>
        <v>641821.80435315543</v>
      </c>
    </row>
    <row r="16" spans="1:7">
      <c r="A16" s="125">
        <v>8</v>
      </c>
      <c r="B16" s="127" t="s">
        <v>174</v>
      </c>
      <c r="C16" s="126">
        <v>3</v>
      </c>
      <c r="D16" s="129">
        <f>C16</f>
        <v>3</v>
      </c>
      <c r="E16" s="130">
        <f>'An IV B Custo Grupo 2'!F157</f>
        <v>5055.937374659381</v>
      </c>
      <c r="F16" s="128">
        <f t="shared" si="2"/>
        <v>15167.812123978143</v>
      </c>
      <c r="G16" s="128">
        <f t="shared" si="3"/>
        <v>182013.7454877377</v>
      </c>
    </row>
    <row r="17" spans="1:7">
      <c r="A17" s="125">
        <v>9</v>
      </c>
      <c r="B17" s="127" t="s">
        <v>175</v>
      </c>
      <c r="C17" s="126">
        <v>5</v>
      </c>
      <c r="D17" s="129">
        <f t="shared" ref="D17:D22" si="4">C17</f>
        <v>5</v>
      </c>
      <c r="E17" s="130">
        <f>'An IV B Custo Grupo 2'!G157</f>
        <v>4784.0726517978019</v>
      </c>
      <c r="F17" s="128">
        <f t="shared" si="2"/>
        <v>23920.363258989011</v>
      </c>
      <c r="G17" s="128">
        <f t="shared" si="3"/>
        <v>287044.35910786816</v>
      </c>
    </row>
    <row r="18" spans="1:7">
      <c r="A18" s="125">
        <v>10</v>
      </c>
      <c r="B18" s="127" t="s">
        <v>176</v>
      </c>
      <c r="C18" s="126">
        <v>8</v>
      </c>
      <c r="D18" s="129">
        <f t="shared" si="4"/>
        <v>8</v>
      </c>
      <c r="E18" s="130">
        <f>'An IV B Custo Grupo 2'!H157</f>
        <v>4991.6974560370336</v>
      </c>
      <c r="F18" s="128">
        <f t="shared" si="2"/>
        <v>39933.579648296269</v>
      </c>
      <c r="G18" s="128">
        <f t="shared" si="3"/>
        <v>479202.95577955525</v>
      </c>
    </row>
    <row r="19" spans="1:7">
      <c r="A19" s="125">
        <v>11</v>
      </c>
      <c r="B19" s="127" t="s">
        <v>177</v>
      </c>
      <c r="C19" s="126">
        <v>76</v>
      </c>
      <c r="D19" s="129">
        <f t="shared" si="4"/>
        <v>76</v>
      </c>
      <c r="E19" s="130">
        <f>'An IV C Custo Grupo 3'!D156</f>
        <v>4623.6487494692865</v>
      </c>
      <c r="F19" s="128">
        <f>E19*D19</f>
        <v>351397.30495966575</v>
      </c>
      <c r="G19" s="128">
        <f t="shared" si="3"/>
        <v>4216767.659515989</v>
      </c>
    </row>
    <row r="20" spans="1:7">
      <c r="A20" s="125">
        <v>12</v>
      </c>
      <c r="B20" s="127" t="s">
        <v>309</v>
      </c>
      <c r="C20" s="126">
        <v>7</v>
      </c>
      <c r="D20" s="129">
        <f t="shared" si="4"/>
        <v>7</v>
      </c>
      <c r="E20" s="130">
        <f>'An IV C Custo Grupo 3'!E156</f>
        <v>4687.5139230989098</v>
      </c>
      <c r="F20" s="128">
        <f t="shared" si="2"/>
        <v>32812.59746169237</v>
      </c>
      <c r="G20" s="128">
        <f t="shared" si="3"/>
        <v>393751.16954030842</v>
      </c>
    </row>
    <row r="21" spans="1:7">
      <c r="A21" s="125">
        <v>13</v>
      </c>
      <c r="B21" s="127" t="s">
        <v>178</v>
      </c>
      <c r="C21" s="126">
        <v>28</v>
      </c>
      <c r="D21" s="129">
        <f t="shared" si="4"/>
        <v>28</v>
      </c>
      <c r="E21" s="130">
        <f>'An IV C Custo Grupo 3'!F156</f>
        <v>4545.637506487039</v>
      </c>
      <c r="F21" s="128">
        <f t="shared" si="2"/>
        <v>127277.8501816371</v>
      </c>
      <c r="G21" s="128">
        <f t="shared" si="3"/>
        <v>1527334.2021796452</v>
      </c>
    </row>
    <row r="22" spans="1:7">
      <c r="A22" s="125">
        <v>14</v>
      </c>
      <c r="B22" s="127" t="s">
        <v>153</v>
      </c>
      <c r="C22" s="126">
        <v>2</v>
      </c>
      <c r="D22" s="129">
        <f t="shared" si="4"/>
        <v>2</v>
      </c>
      <c r="E22" s="130">
        <f>'An IV C Custo Grupo 3'!G156</f>
        <v>4687.5139230989098</v>
      </c>
      <c r="F22" s="128">
        <f t="shared" si="2"/>
        <v>9375.0278461978196</v>
      </c>
      <c r="G22" s="128">
        <f t="shared" si="3"/>
        <v>112500.33415437384</v>
      </c>
    </row>
    <row r="23" spans="1:7">
      <c r="A23" s="335" t="s">
        <v>69</v>
      </c>
      <c r="B23" s="335"/>
      <c r="C23" s="124">
        <f>SUM(C9:C22)</f>
        <v>151</v>
      </c>
      <c r="D23" s="124">
        <f>SUM(D9:D22)</f>
        <v>151</v>
      </c>
      <c r="E23" s="131"/>
      <c r="F23" s="131">
        <f>SUM(F9:F22)</f>
        <v>716686.53980991314</v>
      </c>
      <c r="G23" s="131">
        <f t="shared" si="3"/>
        <v>8600238.4777189568</v>
      </c>
    </row>
  </sheetData>
  <mergeCells count="8">
    <mergeCell ref="A7:G7"/>
    <mergeCell ref="A23:B23"/>
    <mergeCell ref="A6:G6"/>
    <mergeCell ref="A5:G5"/>
    <mergeCell ref="A1:G1"/>
    <mergeCell ref="A2:G2"/>
    <mergeCell ref="A3:G3"/>
    <mergeCell ref="A4:G4"/>
  </mergeCells>
  <pageMargins left="0.511811024" right="0.511811024" top="0.78740157499999996" bottom="0.78740157499999996" header="0.31496062000000002" footer="0.31496062000000002"/>
  <pageSetup paperSize="9" fitToHeight="0" orientation="landscape" r:id="rId1"/>
  <headerFooter>
    <oddHeader>&amp;L&amp;G&amp;C&amp;"-,Itálico"&amp;9Processo 23069.152636/2023-41
PE 16/2023&amp;R&amp;G</oddHeader>
    <oddFooter>&amp;L&amp;9&amp;A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MENU PLANILHA</vt:lpstr>
      <vt:lpstr>Anexo II-A Salários</vt:lpstr>
      <vt:lpstr>Anexo II-B Distribuição</vt:lpstr>
      <vt:lpstr>Anexo III-A Equip.</vt:lpstr>
      <vt:lpstr>Anexo III-B Uniformes</vt:lpstr>
      <vt:lpstr>An IV A Custo Grupo 1</vt:lpstr>
      <vt:lpstr>An IV B Custo Grupo 2</vt:lpstr>
      <vt:lpstr>An IV C Custo Grupo 3</vt:lpstr>
      <vt:lpstr>Anexo IV - Custo Total MDO</vt:lpstr>
      <vt:lpstr>'An IV A Custo Grupo 1'!Area_de_impressao</vt:lpstr>
      <vt:lpstr>'An IV B Custo Grupo 2'!Area_de_impressao</vt:lpstr>
      <vt:lpstr>'An IV C Custo Grupo 3'!Area_de_impressao</vt:lpstr>
      <vt:lpstr>'Anexo II-A Salários'!Area_de_impressao</vt:lpstr>
      <vt:lpstr>'Anexo III-B Uniformes'!Area_de_impressao</vt:lpstr>
      <vt:lpstr>'Anexo IV - Custo Total MDO'!Area_de_impressao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Joao Paulo Moraes</cp:lastModifiedBy>
  <cp:lastPrinted>2023-02-28T03:05:33Z</cp:lastPrinted>
  <dcterms:created xsi:type="dcterms:W3CDTF">2020-07-21T04:53:23Z</dcterms:created>
  <dcterms:modified xsi:type="dcterms:W3CDTF">2023-02-28T03:08:07Z</dcterms:modified>
</cp:coreProperties>
</file>